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E:\PROJETOS\W.000567.0001 - AGEVAP - Assessoria tec e admin Proj SES\14 GerProj\05 - ESTRATÉGIA_02\03 - TdRs\"/>
    </mc:Choice>
  </mc:AlternateContent>
  <xr:revisionPtr revIDLastSave="0" documentId="13_ncr:1_{36BEF032-D5F8-4219-A48C-FF48EC19268A}" xr6:coauthVersionLast="47" xr6:coauthVersionMax="47" xr10:uidLastSave="{00000000-0000-0000-0000-000000000000}"/>
  <bookViews>
    <workbookView xWindow="-28920" yWindow="-6855" windowWidth="29040" windowHeight="15840" tabRatio="935" xr2:uid="{00000000-000D-0000-FFFF-FFFF00000000}"/>
  </bookViews>
  <sheets>
    <sheet name="Capa" sheetId="40" r:id="rId1"/>
    <sheet name="Orç_20-30" sheetId="28" state="hidden" r:id="rId2"/>
    <sheet name="Crono_20-30" sheetId="34" state="hidden" r:id="rId3"/>
    <sheet name="Definições" sheetId="47" r:id="rId4"/>
    <sheet name="Município" sheetId="54" r:id="rId5"/>
    <sheet name="Custos" sheetId="82" r:id="rId6"/>
    <sheet name="K" sheetId="115" r:id="rId7"/>
    <sheet name="P1" sheetId="138" r:id="rId8"/>
    <sheet name="P2" sheetId="146" r:id="rId9"/>
    <sheet name="P3" sheetId="147" r:id="rId10"/>
    <sheet name="P4" sheetId="149" r:id="rId11"/>
    <sheet name="P5" sheetId="150" r:id="rId12"/>
    <sheet name="P6" sheetId="151" r:id="rId13"/>
    <sheet name="P7a" sheetId="153" r:id="rId14"/>
    <sheet name="P7b" sheetId="161" r:id="rId15"/>
    <sheet name="P8" sheetId="152" r:id="rId16"/>
    <sheet name="Produto Consolidado" sheetId="145" r:id="rId17"/>
    <sheet name="Cronograma" sheetId="159" r:id="rId18"/>
    <sheet name="CPP" sheetId="125" r:id="rId19"/>
  </sheets>
  <definedNames>
    <definedName name="_xlnm.Print_Area" localSheetId="0">Capa!$A$1:$J$55</definedName>
    <definedName name="_xlnm.Print_Area" localSheetId="18">CPP!$A$1:$E$17</definedName>
    <definedName name="_xlnm.Print_Area" localSheetId="2">'Crono_20-30'!$A$2:$H$30</definedName>
    <definedName name="_xlnm.Print_Area" localSheetId="17">Cronograma!$A$1:$BT$40</definedName>
    <definedName name="_xlnm.Print_Area" localSheetId="5">Custos!$A$1:$G$52</definedName>
    <definedName name="_xlnm.Print_Area" localSheetId="3">Definições!$A$1:$J$48</definedName>
    <definedName name="_xlnm.Print_Area" localSheetId="6">K!$A$1:$G$26</definedName>
    <definedName name="_xlnm.Print_Area" localSheetId="4">Município!$A$1:$H$27</definedName>
    <definedName name="_xlnm.Print_Area" localSheetId="1">'Orç_20-30'!$A$1:$G$82</definedName>
    <definedName name="_xlnm.Print_Area" localSheetId="7">'P1'!$A$1:$H$65</definedName>
    <definedName name="_xlnm.Print_Area" localSheetId="8">'P2'!$A$1:$H$63</definedName>
    <definedName name="_xlnm.Print_Area" localSheetId="9">'P3'!$A$1:$H$63</definedName>
    <definedName name="_xlnm.Print_Area" localSheetId="10">'P4'!$A$1:$H$63</definedName>
    <definedName name="_xlnm.Print_Area" localSheetId="11">'P5'!$A$1:$H$63</definedName>
    <definedName name="_xlnm.Print_Area" localSheetId="12">'P6'!$A$1:$H$63</definedName>
    <definedName name="_xlnm.Print_Area" localSheetId="13">P7a!$A$1:$H$63</definedName>
    <definedName name="_xlnm.Print_Area" localSheetId="15">'P8'!$A$1:$H$63</definedName>
    <definedName name="_xlnm.Print_Area" localSheetId="16">'Produto Consolidado'!$A$1:$H$61</definedName>
    <definedName name="_xlnm.Print_Titles" localSheetId="7">'P1'!$1:$4</definedName>
    <definedName name="_xlnm.Print_Titles" localSheetId="8">'P2'!$1:$4</definedName>
    <definedName name="_xlnm.Print_Titles" localSheetId="9">'P3'!$1:$4</definedName>
    <definedName name="_xlnm.Print_Titles" localSheetId="10">'P4'!$1:$4</definedName>
    <definedName name="_xlnm.Print_Titles" localSheetId="11">'P5'!$1:$4</definedName>
    <definedName name="_xlnm.Print_Titles" localSheetId="12">'P6'!$1:$4</definedName>
    <definedName name="_xlnm.Print_Titles" localSheetId="13">P7a!$1:$4</definedName>
    <definedName name="_xlnm.Print_Titles" localSheetId="15">'P8'!$1:$4</definedName>
    <definedName name="_xlnm.Print_Titles" localSheetId="16">'Produto Consolidado'!$1:$4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54" l="1"/>
  <c r="C19" i="54" s="1"/>
  <c r="C20" i="54" s="1"/>
  <c r="C21" i="54"/>
  <c r="C16" i="54"/>
  <c r="C15" i="54"/>
  <c r="E19" i="115" l="1"/>
  <c r="E18" i="115"/>
  <c r="G25" i="82" l="1"/>
  <c r="G16" i="115"/>
  <c r="G22" i="115" s="1"/>
  <c r="C6" i="159" l="1"/>
  <c r="C4" i="146"/>
  <c r="C4" i="147"/>
  <c r="C4" i="149"/>
  <c r="C4" i="150"/>
  <c r="C4" i="151"/>
  <c r="C4" i="153"/>
  <c r="C4" i="161"/>
  <c r="C4" i="152"/>
  <c r="C4" i="145"/>
  <c r="C4" i="138"/>
  <c r="G16" i="82"/>
  <c r="C46" i="145"/>
  <c r="C3" i="138"/>
  <c r="C3" i="145"/>
  <c r="C3" i="152"/>
  <c r="C3" i="161"/>
  <c r="C3" i="153"/>
  <c r="C3" i="151"/>
  <c r="C3" i="150"/>
  <c r="C3" i="149"/>
  <c r="C3" i="147"/>
  <c r="C3" i="146"/>
  <c r="B25" i="159" l="1"/>
  <c r="B27" i="159"/>
  <c r="B48" i="161" l="1"/>
  <c r="B47" i="161"/>
  <c r="D46" i="161"/>
  <c r="B46" i="161"/>
  <c r="D41" i="161"/>
  <c r="B41" i="161"/>
  <c r="D40" i="161"/>
  <c r="B40" i="161"/>
  <c r="D37" i="161"/>
  <c r="B37" i="161"/>
  <c r="D36" i="161"/>
  <c r="B36" i="161"/>
  <c r="D35" i="161"/>
  <c r="B35" i="161"/>
  <c r="D34" i="161"/>
  <c r="B34" i="161"/>
  <c r="D31" i="161"/>
  <c r="B31" i="161"/>
  <c r="D30" i="161"/>
  <c r="B30" i="161"/>
  <c r="D29" i="161"/>
  <c r="B29" i="161"/>
  <c r="B24" i="161"/>
  <c r="B23" i="161"/>
  <c r="B22" i="161"/>
  <c r="B21" i="161"/>
  <c r="B20" i="161"/>
  <c r="B19" i="161"/>
  <c r="B14" i="161"/>
  <c r="B13" i="161"/>
  <c r="B12" i="161"/>
  <c r="B11" i="161"/>
  <c r="B10" i="161"/>
  <c r="B15" i="125" l="1"/>
  <c r="E40" i="145"/>
  <c r="E41" i="145"/>
  <c r="C36" i="161" l="1"/>
  <c r="F36" i="161" s="1"/>
  <c r="C35" i="161"/>
  <c r="F35" i="161" s="1"/>
  <c r="C37" i="161"/>
  <c r="F37" i="161" s="1"/>
  <c r="C29" i="161"/>
  <c r="F29" i="161" s="1"/>
  <c r="C30" i="161"/>
  <c r="F30" i="161" s="1"/>
  <c r="C31" i="161"/>
  <c r="F31" i="161" s="1"/>
  <c r="C40" i="161"/>
  <c r="F40" i="161" s="1"/>
  <c r="C34" i="161"/>
  <c r="F34" i="161" s="1"/>
  <c r="C41" i="161"/>
  <c r="F41" i="161" s="1"/>
  <c r="B13" i="145" l="1"/>
  <c r="B13" i="152"/>
  <c r="B13" i="153"/>
  <c r="B13" i="151"/>
  <c r="B13" i="150"/>
  <c r="B14" i="150"/>
  <c r="B13" i="149"/>
  <c r="B13" i="147"/>
  <c r="B13" i="146"/>
  <c r="B13" i="138"/>
  <c r="E13" i="145" l="1"/>
  <c r="G13" i="82" l="1"/>
  <c r="C10" i="161" s="1"/>
  <c r="F10" i="161" s="1"/>
  <c r="C13" i="161"/>
  <c r="F13" i="161" s="1"/>
  <c r="G15" i="82"/>
  <c r="C12" i="161" s="1"/>
  <c r="F12" i="161" s="1"/>
  <c r="G14" i="82"/>
  <c r="C11" i="161" s="1"/>
  <c r="F11" i="161" s="1"/>
  <c r="G17" i="82"/>
  <c r="C14" i="150" l="1"/>
  <c r="F14" i="150" s="1"/>
  <c r="C14" i="161"/>
  <c r="F14" i="161" s="1"/>
  <c r="C13" i="145"/>
  <c r="F13" i="145" s="1"/>
  <c r="C13" i="151"/>
  <c r="F13" i="151" s="1"/>
  <c r="C13" i="138"/>
  <c r="F13" i="138" s="1"/>
  <c r="C13" i="152"/>
  <c r="F13" i="152" s="1"/>
  <c r="C13" i="146"/>
  <c r="F13" i="146" s="1"/>
  <c r="C13" i="150"/>
  <c r="F13" i="150" s="1"/>
  <c r="C13" i="147"/>
  <c r="F13" i="147" s="1"/>
  <c r="C13" i="153"/>
  <c r="F13" i="153" s="1"/>
  <c r="C13" i="149"/>
  <c r="F13" i="149" s="1"/>
  <c r="E29" i="145" l="1"/>
  <c r="D46" i="145" l="1"/>
  <c r="D46" i="152"/>
  <c r="D46" i="153"/>
  <c r="D46" i="151"/>
  <c r="D46" i="150"/>
  <c r="D46" i="149"/>
  <c r="D46" i="147"/>
  <c r="D46" i="146"/>
  <c r="B46" i="150" l="1"/>
  <c r="B47" i="150"/>
  <c r="B48" i="150"/>
  <c r="E31" i="145" l="1"/>
  <c r="C30" i="152"/>
  <c r="C40" i="153"/>
  <c r="E30" i="145"/>
  <c r="D35" i="145"/>
  <c r="D36" i="145"/>
  <c r="D37" i="145"/>
  <c r="D34" i="145"/>
  <c r="C35" i="145"/>
  <c r="C36" i="145"/>
  <c r="C37" i="145"/>
  <c r="B35" i="145"/>
  <c r="B36" i="145"/>
  <c r="B37" i="145"/>
  <c r="B34" i="145"/>
  <c r="D30" i="145"/>
  <c r="D31" i="145"/>
  <c r="D29" i="145"/>
  <c r="D29" i="152"/>
  <c r="C31" i="145"/>
  <c r="C29" i="145"/>
  <c r="C31" i="152"/>
  <c r="C29" i="152"/>
  <c r="B30" i="145"/>
  <c r="B31" i="145"/>
  <c r="B29" i="145"/>
  <c r="B48" i="153"/>
  <c r="B47" i="153"/>
  <c r="B46" i="153"/>
  <c r="D41" i="153"/>
  <c r="C41" i="153"/>
  <c r="B41" i="153"/>
  <c r="D40" i="153"/>
  <c r="B40" i="153"/>
  <c r="D37" i="153"/>
  <c r="C37" i="153"/>
  <c r="B37" i="153"/>
  <c r="D36" i="153"/>
  <c r="C36" i="153"/>
  <c r="B36" i="153"/>
  <c r="D35" i="153"/>
  <c r="C35" i="153"/>
  <c r="B35" i="153"/>
  <c r="D34" i="153"/>
  <c r="C34" i="153"/>
  <c r="B34" i="153"/>
  <c r="D31" i="153"/>
  <c r="C31" i="153"/>
  <c r="B31" i="153"/>
  <c r="D30" i="153"/>
  <c r="C30" i="153"/>
  <c r="F30" i="153" s="1"/>
  <c r="B30" i="153"/>
  <c r="D29" i="153"/>
  <c r="C29" i="153"/>
  <c r="B29" i="153"/>
  <c r="B24" i="153"/>
  <c r="B23" i="153"/>
  <c r="B22" i="153"/>
  <c r="B21" i="153"/>
  <c r="B20" i="153"/>
  <c r="B19" i="153"/>
  <c r="B14" i="153"/>
  <c r="B12" i="153"/>
  <c r="B11" i="153"/>
  <c r="B10" i="153"/>
  <c r="B48" i="152"/>
  <c r="B47" i="152"/>
  <c r="B46" i="152"/>
  <c r="D41" i="152"/>
  <c r="C41" i="152"/>
  <c r="B41" i="152"/>
  <c r="D40" i="152"/>
  <c r="B40" i="152"/>
  <c r="D37" i="152"/>
  <c r="C37" i="152"/>
  <c r="B37" i="152"/>
  <c r="D36" i="152"/>
  <c r="C36" i="152"/>
  <c r="F36" i="152" s="1"/>
  <c r="B36" i="152"/>
  <c r="D35" i="152"/>
  <c r="C35" i="152"/>
  <c r="B35" i="152"/>
  <c r="D34" i="152"/>
  <c r="C34" i="152"/>
  <c r="B34" i="152"/>
  <c r="D31" i="152"/>
  <c r="B31" i="152"/>
  <c r="D30" i="152"/>
  <c r="B30" i="152"/>
  <c r="B29" i="152"/>
  <c r="B24" i="152"/>
  <c r="B23" i="152"/>
  <c r="B22" i="152"/>
  <c r="B21" i="152"/>
  <c r="B20" i="152"/>
  <c r="B19" i="152"/>
  <c r="B14" i="152"/>
  <c r="B12" i="152"/>
  <c r="B11" i="152"/>
  <c r="B10" i="152"/>
  <c r="E34" i="145"/>
  <c r="B48" i="151"/>
  <c r="B47" i="151"/>
  <c r="B46" i="151"/>
  <c r="D41" i="151"/>
  <c r="C41" i="151"/>
  <c r="B41" i="151"/>
  <c r="D40" i="151"/>
  <c r="C40" i="151"/>
  <c r="B40" i="151"/>
  <c r="D37" i="151"/>
  <c r="C37" i="151"/>
  <c r="B37" i="151"/>
  <c r="D36" i="151"/>
  <c r="C36" i="151"/>
  <c r="B36" i="151"/>
  <c r="D35" i="151"/>
  <c r="C35" i="151"/>
  <c r="B35" i="151"/>
  <c r="D34" i="151"/>
  <c r="C34" i="151"/>
  <c r="B34" i="151"/>
  <c r="D31" i="151"/>
  <c r="C31" i="151"/>
  <c r="B31" i="151"/>
  <c r="D30" i="151"/>
  <c r="C30" i="151"/>
  <c r="F30" i="151" s="1"/>
  <c r="B30" i="151"/>
  <c r="D29" i="151"/>
  <c r="C29" i="151"/>
  <c r="B29" i="151"/>
  <c r="B24" i="151"/>
  <c r="B23" i="151"/>
  <c r="B22" i="151"/>
  <c r="B21" i="151"/>
  <c r="B20" i="151"/>
  <c r="B19" i="151"/>
  <c r="B14" i="151"/>
  <c r="B12" i="151"/>
  <c r="B11" i="151"/>
  <c r="B10" i="151"/>
  <c r="D41" i="150"/>
  <c r="C41" i="150"/>
  <c r="F41" i="150" s="1"/>
  <c r="B41" i="150"/>
  <c r="D40" i="150"/>
  <c r="C40" i="150"/>
  <c r="B40" i="150"/>
  <c r="D37" i="150"/>
  <c r="C37" i="150"/>
  <c r="B37" i="150"/>
  <c r="D36" i="150"/>
  <c r="C36" i="150"/>
  <c r="B36" i="150"/>
  <c r="D35" i="150"/>
  <c r="C35" i="150"/>
  <c r="B35" i="150"/>
  <c r="D34" i="150"/>
  <c r="C34" i="150"/>
  <c r="B34" i="150"/>
  <c r="D31" i="150"/>
  <c r="C31" i="150"/>
  <c r="B31" i="150"/>
  <c r="D30" i="150"/>
  <c r="C30" i="150"/>
  <c r="B30" i="150"/>
  <c r="D29" i="150"/>
  <c r="C29" i="150"/>
  <c r="F29" i="150" s="1"/>
  <c r="B29" i="150"/>
  <c r="B24" i="150"/>
  <c r="B23" i="150"/>
  <c r="B22" i="150"/>
  <c r="B21" i="150"/>
  <c r="B20" i="150"/>
  <c r="B19" i="150"/>
  <c r="B12" i="150"/>
  <c r="B11" i="150"/>
  <c r="B10" i="150"/>
  <c r="B48" i="149"/>
  <c r="B47" i="149"/>
  <c r="B46" i="149"/>
  <c r="D41" i="149"/>
  <c r="C41" i="149"/>
  <c r="B41" i="149"/>
  <c r="D40" i="149"/>
  <c r="B40" i="149"/>
  <c r="D37" i="149"/>
  <c r="C37" i="149"/>
  <c r="B37" i="149"/>
  <c r="D36" i="149"/>
  <c r="C36" i="149"/>
  <c r="B36" i="149"/>
  <c r="D35" i="149"/>
  <c r="C35" i="149"/>
  <c r="B35" i="149"/>
  <c r="D34" i="149"/>
  <c r="C34" i="149"/>
  <c r="B34" i="149"/>
  <c r="D31" i="149"/>
  <c r="C31" i="149"/>
  <c r="B31" i="149"/>
  <c r="D30" i="149"/>
  <c r="C30" i="149"/>
  <c r="B30" i="149"/>
  <c r="D29" i="149"/>
  <c r="C29" i="149"/>
  <c r="B29" i="149"/>
  <c r="B24" i="149"/>
  <c r="B23" i="149"/>
  <c r="B22" i="149"/>
  <c r="B21" i="149"/>
  <c r="B20" i="149"/>
  <c r="B19" i="149"/>
  <c r="B14" i="149"/>
  <c r="B12" i="149"/>
  <c r="B11" i="149"/>
  <c r="B10" i="149"/>
  <c r="B48" i="147"/>
  <c r="B47" i="147"/>
  <c r="B46" i="147"/>
  <c r="D41" i="147"/>
  <c r="C41" i="147"/>
  <c r="F41" i="147" s="1"/>
  <c r="B41" i="147"/>
  <c r="D40" i="147"/>
  <c r="C40" i="147"/>
  <c r="F40" i="147" s="1"/>
  <c r="B40" i="147"/>
  <c r="D37" i="147"/>
  <c r="C37" i="147"/>
  <c r="B37" i="147"/>
  <c r="D36" i="147"/>
  <c r="C36" i="147"/>
  <c r="B36" i="147"/>
  <c r="D35" i="147"/>
  <c r="C35" i="147"/>
  <c r="B35" i="147"/>
  <c r="D34" i="147"/>
  <c r="C34" i="147"/>
  <c r="B34" i="147"/>
  <c r="D31" i="147"/>
  <c r="C31" i="147"/>
  <c r="B31" i="147"/>
  <c r="D30" i="147"/>
  <c r="C30" i="147"/>
  <c r="B30" i="147"/>
  <c r="D29" i="147"/>
  <c r="C29" i="147"/>
  <c r="B29" i="147"/>
  <c r="B24" i="147"/>
  <c r="B23" i="147"/>
  <c r="B22" i="147"/>
  <c r="B21" i="147"/>
  <c r="B20" i="147"/>
  <c r="B19" i="147"/>
  <c r="B14" i="147"/>
  <c r="B12" i="147"/>
  <c r="B11" i="147"/>
  <c r="B10" i="147"/>
  <c r="B48" i="146"/>
  <c r="B47" i="146"/>
  <c r="B46" i="146"/>
  <c r="D41" i="146"/>
  <c r="C41" i="146"/>
  <c r="B41" i="146"/>
  <c r="D40" i="146"/>
  <c r="C40" i="146"/>
  <c r="B40" i="146"/>
  <c r="D37" i="146"/>
  <c r="C37" i="146"/>
  <c r="B37" i="146"/>
  <c r="D36" i="146"/>
  <c r="C36" i="146"/>
  <c r="B36" i="146"/>
  <c r="D35" i="146"/>
  <c r="C35" i="146"/>
  <c r="B35" i="146"/>
  <c r="D34" i="146"/>
  <c r="C34" i="146"/>
  <c r="B34" i="146"/>
  <c r="D31" i="146"/>
  <c r="C31" i="146"/>
  <c r="B31" i="146"/>
  <c r="D30" i="146"/>
  <c r="C30" i="146"/>
  <c r="B30" i="146"/>
  <c r="D29" i="146"/>
  <c r="C29" i="146"/>
  <c r="B29" i="146"/>
  <c r="B24" i="146"/>
  <c r="B23" i="146"/>
  <c r="B22" i="146"/>
  <c r="B21" i="146"/>
  <c r="B20" i="146"/>
  <c r="B19" i="146"/>
  <c r="B14" i="146"/>
  <c r="B12" i="146"/>
  <c r="B11" i="146"/>
  <c r="B10" i="146"/>
  <c r="E35" i="145"/>
  <c r="F31" i="146" l="1"/>
  <c r="E46" i="145"/>
  <c r="E48" i="145"/>
  <c r="E10" i="145"/>
  <c r="E47" i="145"/>
  <c r="E14" i="145"/>
  <c r="E19" i="145"/>
  <c r="E24" i="145"/>
  <c r="E23" i="145"/>
  <c r="E22" i="145"/>
  <c r="E21" i="145"/>
  <c r="E20" i="145"/>
  <c r="E12" i="145"/>
  <c r="E11" i="145"/>
  <c r="F37" i="146"/>
  <c r="F41" i="152"/>
  <c r="F30" i="147"/>
  <c r="F31" i="149"/>
  <c r="F37" i="152"/>
  <c r="F31" i="153"/>
  <c r="F30" i="146"/>
  <c r="F35" i="152"/>
  <c r="F31" i="151"/>
  <c r="F31" i="152"/>
  <c r="F29" i="147"/>
  <c r="F36" i="149"/>
  <c r="F34" i="153"/>
  <c r="F40" i="151"/>
  <c r="F34" i="147"/>
  <c r="F36" i="147"/>
  <c r="F29" i="149"/>
  <c r="F31" i="150"/>
  <c r="F36" i="150"/>
  <c r="F34" i="152"/>
  <c r="F37" i="153"/>
  <c r="F40" i="153"/>
  <c r="F41" i="153"/>
  <c r="F29" i="153"/>
  <c r="F34" i="151"/>
  <c r="F35" i="150"/>
  <c r="F30" i="150"/>
  <c r="F30" i="149"/>
  <c r="F35" i="149"/>
  <c r="F37" i="147"/>
  <c r="F35" i="146"/>
  <c r="F41" i="146"/>
  <c r="F31" i="147"/>
  <c r="F34" i="146"/>
  <c r="F36" i="146"/>
  <c r="F40" i="146"/>
  <c r="F35" i="147"/>
  <c r="F37" i="149"/>
  <c r="F37" i="150"/>
  <c r="F29" i="151"/>
  <c r="F35" i="151"/>
  <c r="F41" i="151"/>
  <c r="F35" i="153"/>
  <c r="F30" i="152"/>
  <c r="F34" i="149"/>
  <c r="F41" i="149"/>
  <c r="F34" i="150"/>
  <c r="F40" i="150"/>
  <c r="F36" i="153"/>
  <c r="F29" i="152"/>
  <c r="F31" i="145"/>
  <c r="B29" i="159"/>
  <c r="B16" i="125" s="1"/>
  <c r="B14" i="125"/>
  <c r="B23" i="159"/>
  <c r="B13" i="125" s="1"/>
  <c r="B21" i="159"/>
  <c r="B12" i="125" s="1"/>
  <c r="B19" i="159"/>
  <c r="B11" i="125" s="1"/>
  <c r="B17" i="159"/>
  <c r="B10" i="125" s="1"/>
  <c r="B15" i="159"/>
  <c r="B9" i="125" s="1"/>
  <c r="C30" i="145"/>
  <c r="C40" i="149"/>
  <c r="F40" i="149" s="1"/>
  <c r="C40" i="152"/>
  <c r="F40" i="152" s="1"/>
  <c r="F29" i="146"/>
  <c r="D40" i="138"/>
  <c r="C41" i="138"/>
  <c r="C40" i="138"/>
  <c r="D35" i="138"/>
  <c r="D36" i="138"/>
  <c r="D37" i="138"/>
  <c r="D34" i="138"/>
  <c r="C35" i="138"/>
  <c r="C36" i="138"/>
  <c r="C37" i="138"/>
  <c r="C34" i="138"/>
  <c r="B35" i="138"/>
  <c r="B36" i="138"/>
  <c r="B37" i="138"/>
  <c r="B34" i="138"/>
  <c r="D30" i="138"/>
  <c r="D31" i="138"/>
  <c r="D29" i="138"/>
  <c r="C30" i="138"/>
  <c r="F30" i="138" s="1"/>
  <c r="C31" i="138"/>
  <c r="F31" i="138" s="1"/>
  <c r="C29" i="138"/>
  <c r="F29" i="138" s="1"/>
  <c r="B30" i="138"/>
  <c r="B31" i="138"/>
  <c r="B29" i="138"/>
  <c r="F30" i="145" l="1"/>
  <c r="F34" i="138"/>
  <c r="F37" i="138"/>
  <c r="F29" i="145"/>
  <c r="G25" i="115" l="1"/>
  <c r="G24" i="115"/>
  <c r="G37" i="138" s="1"/>
  <c r="G23" i="115"/>
  <c r="G13" i="161" l="1"/>
  <c r="G11" i="161"/>
  <c r="G12" i="161"/>
  <c r="G10" i="161"/>
  <c r="G14" i="161"/>
  <c r="G31" i="161"/>
  <c r="G37" i="161"/>
  <c r="G41" i="161"/>
  <c r="G34" i="161"/>
  <c r="G40" i="161"/>
  <c r="G36" i="161"/>
  <c r="G30" i="161"/>
  <c r="G29" i="161"/>
  <c r="G35" i="161"/>
  <c r="G14" i="150"/>
  <c r="G13" i="138"/>
  <c r="G13" i="147"/>
  <c r="G13" i="151"/>
  <c r="G13" i="150"/>
  <c r="G13" i="149"/>
  <c r="G13" i="153"/>
  <c r="G13" i="146"/>
  <c r="G13" i="152"/>
  <c r="G31" i="151"/>
  <c r="G31" i="153"/>
  <c r="G30" i="149"/>
  <c r="G29" i="147"/>
  <c r="G35" i="151"/>
  <c r="G37" i="147"/>
  <c r="G34" i="152"/>
  <c r="G34" i="153"/>
  <c r="G35" i="147"/>
  <c r="G36" i="153"/>
  <c r="G40" i="146"/>
  <c r="G35" i="146"/>
  <c r="G31" i="150"/>
  <c r="G30" i="138"/>
  <c r="G35" i="152"/>
  <c r="G37" i="152"/>
  <c r="G41" i="147"/>
  <c r="G40" i="151"/>
  <c r="G31" i="149"/>
  <c r="G29" i="151"/>
  <c r="G34" i="146"/>
  <c r="G29" i="152"/>
  <c r="G29" i="138"/>
  <c r="G35" i="150"/>
  <c r="G30" i="146"/>
  <c r="G34" i="151"/>
  <c r="G41" i="152"/>
  <c r="G29" i="150"/>
  <c r="G34" i="147"/>
  <c r="G40" i="150"/>
  <c r="G34" i="150"/>
  <c r="G40" i="149"/>
  <c r="G36" i="149"/>
  <c r="G31" i="138"/>
  <c r="G41" i="146"/>
  <c r="G37" i="150"/>
  <c r="G41" i="150"/>
  <c r="G31" i="147"/>
  <c r="G30" i="150"/>
  <c r="G34" i="149"/>
  <c r="G35" i="153"/>
  <c r="G41" i="151"/>
  <c r="G30" i="147"/>
  <c r="G29" i="149"/>
  <c r="G30" i="153"/>
  <c r="G36" i="146"/>
  <c r="G36" i="150"/>
  <c r="G40" i="152"/>
  <c r="G37" i="149"/>
  <c r="G31" i="152"/>
  <c r="G36" i="147"/>
  <c r="G40" i="153"/>
  <c r="G41" i="149"/>
  <c r="G30" i="152"/>
  <c r="G37" i="146"/>
  <c r="G29" i="153"/>
  <c r="G35" i="149"/>
  <c r="G33" i="149" s="1"/>
  <c r="G41" i="153"/>
  <c r="G31" i="146"/>
  <c r="G40" i="147"/>
  <c r="G37" i="153"/>
  <c r="G36" i="152"/>
  <c r="G30" i="151"/>
  <c r="G29" i="146"/>
  <c r="G34" i="138"/>
  <c r="B48" i="145"/>
  <c r="B47" i="145"/>
  <c r="B46" i="145"/>
  <c r="D41" i="145"/>
  <c r="C41" i="145"/>
  <c r="B41" i="145"/>
  <c r="D40" i="145"/>
  <c r="C40" i="145"/>
  <c r="B40" i="145"/>
  <c r="C34" i="145"/>
  <c r="F34" i="145" s="1"/>
  <c r="B24" i="145"/>
  <c r="B23" i="145"/>
  <c r="B22" i="145"/>
  <c r="B21" i="145"/>
  <c r="B20" i="145"/>
  <c r="B19" i="145"/>
  <c r="B14" i="145"/>
  <c r="B12" i="145"/>
  <c r="B11" i="145"/>
  <c r="B10" i="145"/>
  <c r="B23" i="138"/>
  <c r="B13" i="159"/>
  <c r="B8" i="125" s="1"/>
  <c r="D48" i="138"/>
  <c r="D48" i="161" s="1"/>
  <c r="B48" i="138"/>
  <c r="D47" i="138"/>
  <c r="D47" i="161" s="1"/>
  <c r="C47" i="138"/>
  <c r="B47" i="138"/>
  <c r="B46" i="138"/>
  <c r="D41" i="138"/>
  <c r="B41" i="138"/>
  <c r="B40" i="138"/>
  <c r="F36" i="138"/>
  <c r="F35" i="138"/>
  <c r="B24" i="138"/>
  <c r="B22" i="138"/>
  <c r="B21" i="138"/>
  <c r="B20" i="138"/>
  <c r="B19" i="138"/>
  <c r="B14" i="138"/>
  <c r="B12" i="138"/>
  <c r="B11" i="138"/>
  <c r="B10" i="138"/>
  <c r="G28" i="161" l="1"/>
  <c r="G9" i="161"/>
  <c r="G7" i="161" s="1"/>
  <c r="G33" i="161"/>
  <c r="G39" i="161"/>
  <c r="G31" i="145"/>
  <c r="F47" i="138"/>
  <c r="G47" i="138" s="1"/>
  <c r="C47" i="161"/>
  <c r="F47" i="161" s="1"/>
  <c r="G47" i="161" s="1"/>
  <c r="G13" i="145"/>
  <c r="G29" i="145"/>
  <c r="G34" i="145"/>
  <c r="G30" i="145"/>
  <c r="G39" i="152"/>
  <c r="G28" i="149"/>
  <c r="G39" i="147"/>
  <c r="G33" i="153"/>
  <c r="G33" i="147"/>
  <c r="G28" i="153"/>
  <c r="F40" i="145"/>
  <c r="F40" i="138"/>
  <c r="G40" i="138" s="1"/>
  <c r="G40" i="145" s="1"/>
  <c r="F41" i="145"/>
  <c r="F41" i="138"/>
  <c r="G41" i="138" s="1"/>
  <c r="G41" i="145" s="1"/>
  <c r="G33" i="146"/>
  <c r="G39" i="150"/>
  <c r="G28" i="152"/>
  <c r="G28" i="151"/>
  <c r="G33" i="152"/>
  <c r="G39" i="149"/>
  <c r="G39" i="153"/>
  <c r="G28" i="150"/>
  <c r="G39" i="151"/>
  <c r="G28" i="146"/>
  <c r="G33" i="150"/>
  <c r="G28" i="147"/>
  <c r="G39" i="146"/>
  <c r="F35" i="145"/>
  <c r="D48" i="151"/>
  <c r="D48" i="149"/>
  <c r="D48" i="145"/>
  <c r="D48" i="153"/>
  <c r="D48" i="150"/>
  <c r="D48" i="147"/>
  <c r="D48" i="152"/>
  <c r="D48" i="146"/>
  <c r="C47" i="146"/>
  <c r="C47" i="145"/>
  <c r="F47" i="145" s="1"/>
  <c r="C47" i="153"/>
  <c r="C47" i="150"/>
  <c r="F47" i="150" s="1"/>
  <c r="C47" i="147"/>
  <c r="C47" i="151"/>
  <c r="C47" i="152"/>
  <c r="F47" i="152" s="1"/>
  <c r="C47" i="149"/>
  <c r="F47" i="149" s="1"/>
  <c r="D47" i="145"/>
  <c r="D47" i="153"/>
  <c r="D47" i="150"/>
  <c r="D47" i="147"/>
  <c r="D47" i="152"/>
  <c r="D47" i="151"/>
  <c r="D47" i="149"/>
  <c r="D47" i="146"/>
  <c r="G36" i="138"/>
  <c r="G35" i="138"/>
  <c r="G35" i="145" s="1"/>
  <c r="G28" i="138"/>
  <c r="G26" i="161" l="1"/>
  <c r="G26" i="149"/>
  <c r="G26" i="147"/>
  <c r="G26" i="153"/>
  <c r="G26" i="152"/>
  <c r="F47" i="147"/>
  <c r="G47" i="147" s="1"/>
  <c r="F47" i="146"/>
  <c r="G47" i="146" s="1"/>
  <c r="G26" i="150"/>
  <c r="F47" i="153"/>
  <c r="G47" i="153" s="1"/>
  <c r="F47" i="151"/>
  <c r="G47" i="151" s="1"/>
  <c r="G26" i="146"/>
  <c r="G33" i="138"/>
  <c r="G39" i="138"/>
  <c r="G26" i="138" l="1"/>
  <c r="C48" i="138" l="1"/>
  <c r="F48" i="138" l="1"/>
  <c r="G48" i="138" s="1"/>
  <c r="C48" i="161"/>
  <c r="F48" i="161" s="1"/>
  <c r="G48" i="161" s="1"/>
  <c r="C48" i="152"/>
  <c r="F48" i="152" s="1"/>
  <c r="C48" i="151"/>
  <c r="C48" i="149"/>
  <c r="F48" i="149" s="1"/>
  <c r="C48" i="146"/>
  <c r="C48" i="145"/>
  <c r="F48" i="145" s="1"/>
  <c r="C48" i="153"/>
  <c r="C48" i="150"/>
  <c r="F48" i="150" s="1"/>
  <c r="C48" i="147"/>
  <c r="F48" i="153" l="1"/>
  <c r="G48" i="153" s="1"/>
  <c r="F48" i="151"/>
  <c r="G48" i="151" s="1"/>
  <c r="F48" i="147"/>
  <c r="G48" i="147" s="1"/>
  <c r="F48" i="146"/>
  <c r="G48" i="146" s="1"/>
  <c r="F37" i="151" l="1"/>
  <c r="G37" i="151" s="1"/>
  <c r="G37" i="145" s="1"/>
  <c r="E37" i="145"/>
  <c r="F37" i="145" s="1"/>
  <c r="C10" i="146"/>
  <c r="C10" i="149"/>
  <c r="C10" i="151"/>
  <c r="C10" i="152"/>
  <c r="C10" i="153"/>
  <c r="C10" i="150"/>
  <c r="C10" i="147"/>
  <c r="G39" i="145"/>
  <c r="F36" i="151" l="1"/>
  <c r="E36" i="145"/>
  <c r="F36" i="145" s="1"/>
  <c r="F10" i="149"/>
  <c r="G10" i="149" s="1"/>
  <c r="F10" i="153"/>
  <c r="G10" i="153" s="1"/>
  <c r="F10" i="146"/>
  <c r="G10" i="146" s="1"/>
  <c r="F10" i="152"/>
  <c r="G10" i="152" s="1"/>
  <c r="F10" i="150"/>
  <c r="G10" i="150" s="1"/>
  <c r="F10" i="147"/>
  <c r="G10" i="147" s="1"/>
  <c r="F10" i="151"/>
  <c r="G10" i="151" s="1"/>
  <c r="G48" i="149"/>
  <c r="G47" i="149"/>
  <c r="G47" i="150"/>
  <c r="G47" i="152"/>
  <c r="G48" i="150"/>
  <c r="G48" i="152"/>
  <c r="G48" i="145" l="1"/>
  <c r="G47" i="145"/>
  <c r="G36" i="151"/>
  <c r="G36" i="145" l="1"/>
  <c r="G33" i="145" s="1"/>
  <c r="G33" i="151"/>
  <c r="G26" i="151" l="1"/>
  <c r="G28" i="145" l="1"/>
  <c r="G26" i="145" s="1"/>
  <c r="H4" i="54"/>
  <c r="B6" i="54"/>
  <c r="B5" i="54"/>
  <c r="C5" i="159" s="1"/>
  <c r="BC4" i="159" l="1"/>
  <c r="H2" i="161"/>
  <c r="H2" i="152"/>
  <c r="H2" i="149"/>
  <c r="H2" i="146"/>
  <c r="H2" i="151"/>
  <c r="H2" i="147"/>
  <c r="H2" i="153"/>
  <c r="H2" i="150"/>
  <c r="H2" i="145"/>
  <c r="H2" i="138"/>
  <c r="B4" i="125"/>
  <c r="B5" i="125"/>
  <c r="E3" i="125"/>
  <c r="B5" i="115"/>
  <c r="B6" i="115"/>
  <c r="G4" i="115"/>
  <c r="G3" i="82" l="1"/>
  <c r="C5" i="82" l="1"/>
  <c r="C4" i="82"/>
  <c r="G23" i="82" l="1"/>
  <c r="C20" i="161" s="1"/>
  <c r="F20" i="161" s="1"/>
  <c r="G20" i="161" s="1"/>
  <c r="G27" i="82"/>
  <c r="C24" i="161" s="1"/>
  <c r="F24" i="161" s="1"/>
  <c r="G24" i="161" s="1"/>
  <c r="C22" i="161"/>
  <c r="F22" i="161" s="1"/>
  <c r="G22" i="161" s="1"/>
  <c r="G26" i="82"/>
  <c r="C23" i="161" s="1"/>
  <c r="F23" i="161" s="1"/>
  <c r="G23" i="161" s="1"/>
  <c r="G24" i="82"/>
  <c r="C21" i="161" s="1"/>
  <c r="F21" i="161" s="1"/>
  <c r="G21" i="161" s="1"/>
  <c r="G22" i="82"/>
  <c r="C19" i="161" s="1"/>
  <c r="F19" i="161" s="1"/>
  <c r="G19" i="161" s="1"/>
  <c r="C12" i="150"/>
  <c r="C12" i="153"/>
  <c r="C12" i="152"/>
  <c r="C12" i="146"/>
  <c r="C12" i="151"/>
  <c r="C12" i="149"/>
  <c r="C12" i="147"/>
  <c r="C14" i="147"/>
  <c r="C14" i="152"/>
  <c r="C14" i="151"/>
  <c r="C14" i="149"/>
  <c r="C14" i="153"/>
  <c r="C14" i="146"/>
  <c r="C11" i="147"/>
  <c r="C11" i="149"/>
  <c r="C11" i="152"/>
  <c r="C11" i="153"/>
  <c r="C11" i="151"/>
  <c r="C11" i="150"/>
  <c r="C11" i="146"/>
  <c r="C12" i="145"/>
  <c r="F12" i="145" s="1"/>
  <c r="C12" i="138"/>
  <c r="C14" i="145"/>
  <c r="F14" i="145" s="1"/>
  <c r="C14" i="138"/>
  <c r="C11" i="145"/>
  <c r="C11" i="138"/>
  <c r="C10" i="145"/>
  <c r="F10" i="145" s="1"/>
  <c r="C10" i="138"/>
  <c r="L79" i="28"/>
  <c r="F19" i="28"/>
  <c r="F20" i="28"/>
  <c r="F76" i="28"/>
  <c r="E76" i="28"/>
  <c r="B76" i="28"/>
  <c r="E75" i="28"/>
  <c r="G75" i="28" s="1"/>
  <c r="F74" i="28"/>
  <c r="E74" i="28"/>
  <c r="B74" i="28"/>
  <c r="F73" i="28"/>
  <c r="E73" i="28"/>
  <c r="B73" i="28"/>
  <c r="F72" i="28"/>
  <c r="E72" i="28"/>
  <c r="B72" i="28"/>
  <c r="F70" i="28"/>
  <c r="E70" i="28"/>
  <c r="B70" i="28"/>
  <c r="F69" i="28"/>
  <c r="E69" i="28"/>
  <c r="B69" i="28"/>
  <c r="F68" i="28"/>
  <c r="E68" i="28"/>
  <c r="B68" i="28"/>
  <c r="F67" i="28"/>
  <c r="E67" i="28"/>
  <c r="B67" i="28"/>
  <c r="F66" i="28"/>
  <c r="E66" i="28"/>
  <c r="B66" i="28"/>
  <c r="E65" i="28"/>
  <c r="G65" i="28" s="1"/>
  <c r="E64" i="28"/>
  <c r="G64" i="28" s="1"/>
  <c r="E63" i="28"/>
  <c r="G63" i="28" s="1"/>
  <c r="F61" i="28"/>
  <c r="E61" i="28"/>
  <c r="B61" i="28"/>
  <c r="F60" i="28"/>
  <c r="E60" i="28"/>
  <c r="B60" i="28"/>
  <c r="F59" i="28"/>
  <c r="E59" i="28"/>
  <c r="B59" i="28"/>
  <c r="F58" i="28"/>
  <c r="E58" i="28"/>
  <c r="B58" i="28"/>
  <c r="F57" i="28"/>
  <c r="E57" i="28"/>
  <c r="B57" i="28"/>
  <c r="F56" i="28"/>
  <c r="E56" i="28"/>
  <c r="B56" i="28"/>
  <c r="F55" i="28"/>
  <c r="E55" i="28"/>
  <c r="B55" i="28"/>
  <c r="E54" i="28"/>
  <c r="G54" i="28" s="1"/>
  <c r="E53" i="28"/>
  <c r="G53" i="28" s="1"/>
  <c r="E52" i="28"/>
  <c r="G52" i="28" s="1"/>
  <c r="F50" i="28"/>
  <c r="E50" i="28"/>
  <c r="B50" i="28"/>
  <c r="F49" i="28"/>
  <c r="E49" i="28"/>
  <c r="B49" i="28"/>
  <c r="F48" i="28"/>
  <c r="E48" i="28"/>
  <c r="B48" i="28"/>
  <c r="F47" i="28"/>
  <c r="E47" i="28"/>
  <c r="B47" i="28"/>
  <c r="F46" i="28"/>
  <c r="E46" i="28"/>
  <c r="B46" i="28"/>
  <c r="F45" i="28"/>
  <c r="E45" i="28"/>
  <c r="B45" i="28"/>
  <c r="F44" i="28"/>
  <c r="E44" i="28"/>
  <c r="B44" i="28"/>
  <c r="E43" i="28"/>
  <c r="G43" i="28" s="1"/>
  <c r="E42" i="28"/>
  <c r="G42" i="28" s="1"/>
  <c r="E41" i="28"/>
  <c r="G41" i="28" s="1"/>
  <c r="F39" i="28"/>
  <c r="E39" i="28"/>
  <c r="B39" i="28"/>
  <c r="F38" i="28"/>
  <c r="E38" i="28"/>
  <c r="B38" i="28"/>
  <c r="F37" i="28"/>
  <c r="E37" i="28"/>
  <c r="B37" i="28"/>
  <c r="F36" i="28"/>
  <c r="E36" i="28"/>
  <c r="B36" i="28"/>
  <c r="F35" i="28"/>
  <c r="E35" i="28"/>
  <c r="B35" i="28"/>
  <c r="F34" i="28"/>
  <c r="E34" i="28"/>
  <c r="B34" i="28"/>
  <c r="E33" i="28"/>
  <c r="G33" i="28" s="1"/>
  <c r="E32" i="28"/>
  <c r="G32" i="28" s="1"/>
  <c r="E31" i="28"/>
  <c r="G31" i="28" s="1"/>
  <c r="F29" i="28"/>
  <c r="E29" i="28"/>
  <c r="B29" i="28"/>
  <c r="F28" i="28"/>
  <c r="E28" i="28"/>
  <c r="B28" i="28"/>
  <c r="F27" i="28"/>
  <c r="E27" i="28"/>
  <c r="B27" i="28"/>
  <c r="F26" i="28"/>
  <c r="E26" i="28"/>
  <c r="B26" i="28"/>
  <c r="F25" i="28"/>
  <c r="E25" i="28"/>
  <c r="B25" i="28"/>
  <c r="E24" i="28"/>
  <c r="G24" i="28" s="1"/>
  <c r="O23" i="28"/>
  <c r="P23" i="28" s="1"/>
  <c r="E23" i="28"/>
  <c r="G23" i="28" s="1"/>
  <c r="O22" i="28"/>
  <c r="P22" i="28" s="1"/>
  <c r="E22" i="28"/>
  <c r="G22" i="28" s="1"/>
  <c r="E20" i="28"/>
  <c r="B20" i="28"/>
  <c r="E19" i="28"/>
  <c r="B19" i="28"/>
  <c r="F18" i="28"/>
  <c r="E18" i="28"/>
  <c r="B18" i="28"/>
  <c r="G18" i="161" l="1"/>
  <c r="G16" i="161" s="1"/>
  <c r="F14" i="138"/>
  <c r="G14" i="138" s="1"/>
  <c r="F11" i="151"/>
  <c r="G11" i="151" s="1"/>
  <c r="F11" i="147"/>
  <c r="G11" i="147" s="1"/>
  <c r="F12" i="152"/>
  <c r="G12" i="152" s="1"/>
  <c r="F11" i="153"/>
  <c r="G11" i="153" s="1"/>
  <c r="F14" i="146"/>
  <c r="G14" i="146" s="1"/>
  <c r="F14" i="151"/>
  <c r="G14" i="151" s="1"/>
  <c r="F12" i="149"/>
  <c r="G12" i="149" s="1"/>
  <c r="F12" i="153"/>
  <c r="G12" i="153" s="1"/>
  <c r="F10" i="138"/>
  <c r="G10" i="138" s="1"/>
  <c r="G10" i="145" s="1"/>
  <c r="F14" i="149"/>
  <c r="G14" i="149" s="1"/>
  <c r="F12" i="147"/>
  <c r="G12" i="147" s="1"/>
  <c r="F11" i="138"/>
  <c r="G11" i="138" s="1"/>
  <c r="F12" i="138"/>
  <c r="G12" i="138" s="1"/>
  <c r="F11" i="146"/>
  <c r="G11" i="146" s="1"/>
  <c r="F11" i="152"/>
  <c r="G11" i="152" s="1"/>
  <c r="F14" i="152"/>
  <c r="G14" i="152" s="1"/>
  <c r="F12" i="151"/>
  <c r="G12" i="151" s="1"/>
  <c r="F12" i="150"/>
  <c r="G12" i="150" s="1"/>
  <c r="F11" i="145"/>
  <c r="F11" i="150"/>
  <c r="G11" i="150" s="1"/>
  <c r="F11" i="149"/>
  <c r="G11" i="149" s="1"/>
  <c r="F14" i="153"/>
  <c r="G14" i="153" s="1"/>
  <c r="F14" i="147"/>
  <c r="G14" i="147" s="1"/>
  <c r="F12" i="146"/>
  <c r="G12" i="146" s="1"/>
  <c r="C23" i="153"/>
  <c r="C23" i="150"/>
  <c r="C23" i="147"/>
  <c r="C23" i="152"/>
  <c r="C23" i="151"/>
  <c r="C23" i="149"/>
  <c r="C23" i="146"/>
  <c r="C22" i="152"/>
  <c r="C22" i="146"/>
  <c r="C22" i="151"/>
  <c r="C22" i="149"/>
  <c r="C22" i="153"/>
  <c r="C22" i="147"/>
  <c r="C22" i="150"/>
  <c r="C24" i="152"/>
  <c r="C24" i="146"/>
  <c r="C24" i="151"/>
  <c r="C24" i="149"/>
  <c r="C24" i="153"/>
  <c r="C24" i="150"/>
  <c r="C24" i="147"/>
  <c r="C21" i="153"/>
  <c r="C21" i="150"/>
  <c r="C21" i="152"/>
  <c r="C21" i="147"/>
  <c r="C21" i="151"/>
  <c r="C21" i="149"/>
  <c r="C21" i="146"/>
  <c r="C20" i="152"/>
  <c r="C20" i="147"/>
  <c r="C20" i="146"/>
  <c r="C20" i="151"/>
  <c r="C20" i="149"/>
  <c r="C20" i="153"/>
  <c r="C20" i="150"/>
  <c r="C19" i="153"/>
  <c r="C19" i="150"/>
  <c r="C19" i="152"/>
  <c r="C19" i="146"/>
  <c r="C19" i="151"/>
  <c r="C19" i="149"/>
  <c r="F19" i="149" s="1"/>
  <c r="C19" i="147"/>
  <c r="C21" i="145"/>
  <c r="F21" i="145" s="1"/>
  <c r="C21" i="138"/>
  <c r="F21" i="138" s="1"/>
  <c r="C20" i="145"/>
  <c r="F20" i="145" s="1"/>
  <c r="C20" i="138"/>
  <c r="F20" i="138" s="1"/>
  <c r="C19" i="145"/>
  <c r="F19" i="145" s="1"/>
  <c r="C19" i="138"/>
  <c r="C22" i="145"/>
  <c r="F22" i="145" s="1"/>
  <c r="C22" i="138"/>
  <c r="F22" i="138" s="1"/>
  <c r="C24" i="145"/>
  <c r="F24" i="145" s="1"/>
  <c r="C24" i="138"/>
  <c r="F24" i="138" s="1"/>
  <c r="C23" i="145"/>
  <c r="F23" i="145" s="1"/>
  <c r="C23" i="138"/>
  <c r="G69" i="28"/>
  <c r="G74" i="28"/>
  <c r="G76" i="28"/>
  <c r="G37" i="28"/>
  <c r="G45" i="28"/>
  <c r="G49" i="28"/>
  <c r="G57" i="28"/>
  <c r="G61" i="28"/>
  <c r="G29" i="28"/>
  <c r="G48" i="28"/>
  <c r="G73" i="28"/>
  <c r="G28" i="28"/>
  <c r="G35" i="28"/>
  <c r="G39" i="28"/>
  <c r="G47" i="28"/>
  <c r="G55" i="28"/>
  <c r="G51" i="28" s="1"/>
  <c r="G59" i="28"/>
  <c r="G67" i="28"/>
  <c r="G72" i="28"/>
  <c r="G71" i="28" s="1"/>
  <c r="G80" i="28" s="1"/>
  <c r="G81" i="28" s="1"/>
  <c r="G25" i="28"/>
  <c r="G21" i="28" s="1"/>
  <c r="G44" i="28"/>
  <c r="G40" i="28" s="1"/>
  <c r="G68" i="28"/>
  <c r="G27" i="28"/>
  <c r="G34" i="28"/>
  <c r="G30" i="28" s="1"/>
  <c r="G38" i="28"/>
  <c r="G58" i="28"/>
  <c r="G18" i="28"/>
  <c r="G17" i="28" s="1"/>
  <c r="B17" i="34" s="1"/>
  <c r="G26" i="28"/>
  <c r="G36" i="28"/>
  <c r="G46" i="28"/>
  <c r="G50" i="28"/>
  <c r="G56" i="28"/>
  <c r="G60" i="28"/>
  <c r="G66" i="28"/>
  <c r="G62" i="28" s="1"/>
  <c r="G70" i="28"/>
  <c r="G19" i="28"/>
  <c r="G20" i="28"/>
  <c r="G12" i="145" l="1"/>
  <c r="G11" i="145"/>
  <c r="G14" i="145"/>
  <c r="G9" i="152"/>
  <c r="G7" i="152" s="1"/>
  <c r="G9" i="151"/>
  <c r="G7" i="151" s="1"/>
  <c r="G9" i="146"/>
  <c r="G7" i="146" s="1"/>
  <c r="G9" i="150"/>
  <c r="G7" i="150" s="1"/>
  <c r="G9" i="147"/>
  <c r="G7" i="147" s="1"/>
  <c r="G9" i="149"/>
  <c r="G7" i="149" s="1"/>
  <c r="G9" i="138"/>
  <c r="G7" i="138" s="1"/>
  <c r="G9" i="153"/>
  <c r="G7" i="153" s="1"/>
  <c r="F19" i="138"/>
  <c r="G19" i="138" s="1"/>
  <c r="F19" i="150"/>
  <c r="G19" i="150" s="1"/>
  <c r="F20" i="150"/>
  <c r="G20" i="150" s="1"/>
  <c r="F20" i="146"/>
  <c r="G20" i="146" s="1"/>
  <c r="F21" i="146"/>
  <c r="G21" i="146" s="1"/>
  <c r="F21" i="152"/>
  <c r="G21" i="152" s="1"/>
  <c r="F24" i="149"/>
  <c r="G24" i="149" s="1"/>
  <c r="F22" i="149"/>
  <c r="G22" i="149" s="1"/>
  <c r="F23" i="146"/>
  <c r="G23" i="146" s="1"/>
  <c r="F23" i="147"/>
  <c r="G23" i="147" s="1"/>
  <c r="F23" i="138"/>
  <c r="G23" i="138" s="1"/>
  <c r="F19" i="151"/>
  <c r="G19" i="151" s="1"/>
  <c r="F19" i="153"/>
  <c r="G19" i="153" s="1"/>
  <c r="F20" i="153"/>
  <c r="G20" i="153" s="1"/>
  <c r="F20" i="147"/>
  <c r="G20" i="147" s="1"/>
  <c r="F21" i="149"/>
  <c r="G21" i="149" s="1"/>
  <c r="F21" i="150"/>
  <c r="G21" i="150" s="1"/>
  <c r="F24" i="147"/>
  <c r="G24" i="147" s="1"/>
  <c r="F24" i="151"/>
  <c r="G24" i="151" s="1"/>
  <c r="F22" i="150"/>
  <c r="G22" i="150" s="1"/>
  <c r="F22" i="151"/>
  <c r="G22" i="151" s="1"/>
  <c r="F23" i="149"/>
  <c r="G23" i="149" s="1"/>
  <c r="F23" i="150"/>
  <c r="G23" i="150" s="1"/>
  <c r="F19" i="146"/>
  <c r="G19" i="146" s="1"/>
  <c r="F20" i="149"/>
  <c r="G20" i="149" s="1"/>
  <c r="F20" i="152"/>
  <c r="G20" i="152" s="1"/>
  <c r="F21" i="151"/>
  <c r="G21" i="151" s="1"/>
  <c r="F21" i="153"/>
  <c r="G21" i="153" s="1"/>
  <c r="F24" i="150"/>
  <c r="G24" i="150" s="1"/>
  <c r="F24" i="146"/>
  <c r="G24" i="146" s="1"/>
  <c r="F22" i="147"/>
  <c r="G22" i="147" s="1"/>
  <c r="F22" i="146"/>
  <c r="G22" i="146" s="1"/>
  <c r="F23" i="151"/>
  <c r="G23" i="151" s="1"/>
  <c r="F23" i="153"/>
  <c r="G23" i="153" s="1"/>
  <c r="F19" i="147"/>
  <c r="G19" i="147" s="1"/>
  <c r="F19" i="152"/>
  <c r="G19" i="152" s="1"/>
  <c r="F20" i="151"/>
  <c r="G20" i="151" s="1"/>
  <c r="F21" i="147"/>
  <c r="G21" i="147" s="1"/>
  <c r="F24" i="153"/>
  <c r="G24" i="153" s="1"/>
  <c r="F24" i="152"/>
  <c r="G24" i="152" s="1"/>
  <c r="F22" i="153"/>
  <c r="G22" i="153" s="1"/>
  <c r="F22" i="152"/>
  <c r="G22" i="152" s="1"/>
  <c r="F23" i="152"/>
  <c r="G23" i="152" s="1"/>
  <c r="G22" i="138"/>
  <c r="G21" i="138"/>
  <c r="G20" i="138"/>
  <c r="B19" i="34"/>
  <c r="E20" i="34" s="1"/>
  <c r="E27" i="34" s="1"/>
  <c r="G77" i="28"/>
  <c r="G78" i="28" s="1"/>
  <c r="B25" i="34"/>
  <c r="H26" i="34" s="1"/>
  <c r="H27" i="34" s="1"/>
  <c r="B23" i="34"/>
  <c r="G24" i="34" s="1"/>
  <c r="G27" i="34" s="1"/>
  <c r="B15" i="34"/>
  <c r="C16" i="34" s="1"/>
  <c r="C27" i="34" s="1"/>
  <c r="H28" i="34" s="1"/>
  <c r="G82" i="28"/>
  <c r="B21" i="34"/>
  <c r="F22" i="34" s="1"/>
  <c r="F27" i="34" s="1"/>
  <c r="D18" i="34"/>
  <c r="D27" i="34" s="1"/>
  <c r="G22" i="145" l="1"/>
  <c r="G20" i="145"/>
  <c r="G23" i="145"/>
  <c r="G21" i="145"/>
  <c r="G18" i="147"/>
  <c r="G16" i="147" s="1"/>
  <c r="G18" i="150"/>
  <c r="G16" i="150" s="1"/>
  <c r="G18" i="152"/>
  <c r="G16" i="152" s="1"/>
  <c r="G18" i="153"/>
  <c r="G16" i="153" s="1"/>
  <c r="G18" i="151"/>
  <c r="G16" i="151" s="1"/>
  <c r="G18" i="146"/>
  <c r="G16" i="146" s="1"/>
  <c r="G19" i="149"/>
  <c r="G19" i="145" s="1"/>
  <c r="E28" i="34"/>
  <c r="E30" i="34" s="1"/>
  <c r="G29" i="34"/>
  <c r="D28" i="34"/>
  <c r="D30" i="34" s="1"/>
  <c r="F28" i="34"/>
  <c r="F30" i="34" s="1"/>
  <c r="G28" i="34"/>
  <c r="G30" i="34" s="1"/>
  <c r="C28" i="34"/>
  <c r="C30" i="34" s="1"/>
  <c r="C29" i="34"/>
  <c r="E29" i="34"/>
  <c r="F29" i="34"/>
  <c r="H30" i="34"/>
  <c r="D29" i="34"/>
  <c r="H29" i="34"/>
  <c r="G18" i="149" l="1"/>
  <c r="G16" i="149" s="1"/>
  <c r="G24" i="138"/>
  <c r="G24" i="145" s="1"/>
  <c r="G18" i="138" l="1"/>
  <c r="G16" i="138" l="1"/>
  <c r="G9" i="145" l="1"/>
  <c r="G7" i="145" s="1"/>
  <c r="G18" i="145" l="1"/>
  <c r="G16" i="145" s="1"/>
  <c r="C46" i="161" l="1"/>
  <c r="F46" i="161" s="1"/>
  <c r="G46" i="161" s="1"/>
  <c r="G45" i="161" l="1"/>
  <c r="G43" i="161" s="1"/>
  <c r="C46" i="149"/>
  <c r="F46" i="149" s="1"/>
  <c r="G46" i="149" s="1"/>
  <c r="C46" i="138"/>
  <c r="C46" i="152"/>
  <c r="F46" i="152" s="1"/>
  <c r="G46" i="152" s="1"/>
  <c r="C46" i="150"/>
  <c r="F46" i="150" s="1"/>
  <c r="G46" i="150" s="1"/>
  <c r="C46" i="153"/>
  <c r="F46" i="153" s="1"/>
  <c r="G46" i="153" s="1"/>
  <c r="G50" i="161" l="1"/>
  <c r="H43" i="161" s="1"/>
  <c r="G45" i="153"/>
  <c r="G43" i="153" s="1"/>
  <c r="G50" i="153" s="1"/>
  <c r="G45" i="152"/>
  <c r="G43" i="152" s="1"/>
  <c r="G45" i="150"/>
  <c r="G43" i="150" s="1"/>
  <c r="C46" i="146"/>
  <c r="F46" i="146" s="1"/>
  <c r="G46" i="146" s="1"/>
  <c r="F46" i="138"/>
  <c r="C46" i="151"/>
  <c r="F46" i="151" s="1"/>
  <c r="G46" i="151" s="1"/>
  <c r="C46" i="147"/>
  <c r="F46" i="147" s="1"/>
  <c r="G46" i="147" s="1"/>
  <c r="G45" i="149"/>
  <c r="G43" i="149" s="1"/>
  <c r="D27" i="159" l="1"/>
  <c r="E15" i="125" s="1"/>
  <c r="H23" i="161"/>
  <c r="H14" i="161"/>
  <c r="H47" i="161"/>
  <c r="H26" i="161"/>
  <c r="H12" i="161"/>
  <c r="H48" i="161"/>
  <c r="H31" i="161"/>
  <c r="H35" i="161"/>
  <c r="H13" i="161"/>
  <c r="H24" i="161"/>
  <c r="H41" i="161"/>
  <c r="H22" i="161"/>
  <c r="H40" i="161"/>
  <c r="H20" i="161"/>
  <c r="H30" i="161"/>
  <c r="H37" i="161"/>
  <c r="H11" i="161"/>
  <c r="H19" i="161"/>
  <c r="H7" i="161"/>
  <c r="H10" i="161"/>
  <c r="H21" i="161"/>
  <c r="H34" i="161"/>
  <c r="H36" i="161"/>
  <c r="H16" i="161"/>
  <c r="H29" i="161"/>
  <c r="H46" i="161"/>
  <c r="F46" i="145"/>
  <c r="G46" i="138"/>
  <c r="G46" i="145" s="1"/>
  <c r="G45" i="146"/>
  <c r="G43" i="146" s="1"/>
  <c r="G50" i="150"/>
  <c r="H43" i="150" s="1"/>
  <c r="G50" i="149"/>
  <c r="G50" i="152"/>
  <c r="H43" i="152" s="1"/>
  <c r="G45" i="147"/>
  <c r="G43" i="147" s="1"/>
  <c r="G45" i="151"/>
  <c r="G43" i="151" s="1"/>
  <c r="H45" i="161" l="1"/>
  <c r="H39" i="161"/>
  <c r="H28" i="161"/>
  <c r="H9" i="161"/>
  <c r="H50" i="161"/>
  <c r="H18" i="161"/>
  <c r="H33" i="161"/>
  <c r="H43" i="153"/>
  <c r="D25" i="159"/>
  <c r="H26" i="149"/>
  <c r="H30" i="149"/>
  <c r="H48" i="149"/>
  <c r="H10" i="149"/>
  <c r="H40" i="149"/>
  <c r="H36" i="149"/>
  <c r="H16" i="149"/>
  <c r="H13" i="149"/>
  <c r="H31" i="149"/>
  <c r="H12" i="149"/>
  <c r="H23" i="149"/>
  <c r="H47" i="149"/>
  <c r="H20" i="149"/>
  <c r="H14" i="149"/>
  <c r="D19" i="159"/>
  <c r="H37" i="149"/>
  <c r="H41" i="149"/>
  <c r="H24" i="149"/>
  <c r="H35" i="149"/>
  <c r="H34" i="149"/>
  <c r="H11" i="149"/>
  <c r="H29" i="149"/>
  <c r="H7" i="149"/>
  <c r="H21" i="149"/>
  <c r="H22" i="149"/>
  <c r="H19" i="149"/>
  <c r="H46" i="149"/>
  <c r="G50" i="151"/>
  <c r="H43" i="151" s="1"/>
  <c r="G50" i="146"/>
  <c r="H43" i="146" s="1"/>
  <c r="H11" i="150"/>
  <c r="H36" i="150"/>
  <c r="H35" i="150"/>
  <c r="H48" i="150"/>
  <c r="H23" i="150"/>
  <c r="H47" i="150"/>
  <c r="H7" i="150"/>
  <c r="H40" i="150"/>
  <c r="H41" i="150"/>
  <c r="H20" i="150"/>
  <c r="H16" i="150"/>
  <c r="H30" i="150"/>
  <c r="H34" i="150"/>
  <c r="H19" i="150"/>
  <c r="H10" i="150"/>
  <c r="H12" i="150"/>
  <c r="H24" i="150"/>
  <c r="H21" i="150"/>
  <c r="H13" i="150"/>
  <c r="H22" i="150"/>
  <c r="H37" i="150"/>
  <c r="H29" i="150"/>
  <c r="D21" i="159"/>
  <c r="H31" i="150"/>
  <c r="H14" i="150"/>
  <c r="H26" i="150"/>
  <c r="H46" i="150"/>
  <c r="G50" i="147"/>
  <c r="H43" i="147" s="1"/>
  <c r="H35" i="153"/>
  <c r="H41" i="153"/>
  <c r="H37" i="153"/>
  <c r="H21" i="153"/>
  <c r="H7" i="153"/>
  <c r="H29" i="153"/>
  <c r="H19" i="153"/>
  <c r="H40" i="153"/>
  <c r="H48" i="153"/>
  <c r="H26" i="153"/>
  <c r="H11" i="153"/>
  <c r="H24" i="153"/>
  <c r="H14" i="153"/>
  <c r="H13" i="153"/>
  <c r="H22" i="153"/>
  <c r="H20" i="153"/>
  <c r="H10" i="153"/>
  <c r="H31" i="153"/>
  <c r="H30" i="153"/>
  <c r="H12" i="153"/>
  <c r="H34" i="153"/>
  <c r="H23" i="153"/>
  <c r="H16" i="153"/>
  <c r="H36" i="153"/>
  <c r="H47" i="153"/>
  <c r="H46" i="153"/>
  <c r="G45" i="138"/>
  <c r="G43" i="138" s="1"/>
  <c r="H43" i="149"/>
  <c r="H29" i="152"/>
  <c r="H10" i="152"/>
  <c r="H30" i="152"/>
  <c r="H12" i="152"/>
  <c r="H23" i="152"/>
  <c r="H14" i="152"/>
  <c r="H34" i="152"/>
  <c r="H11" i="152"/>
  <c r="H21" i="152"/>
  <c r="H31" i="152"/>
  <c r="H41" i="152"/>
  <c r="H40" i="152"/>
  <c r="H7" i="152"/>
  <c r="H20" i="152"/>
  <c r="H48" i="152"/>
  <c r="H13" i="152"/>
  <c r="H22" i="152"/>
  <c r="H19" i="152"/>
  <c r="H36" i="152"/>
  <c r="D29" i="159"/>
  <c r="H35" i="152"/>
  <c r="H37" i="152"/>
  <c r="H26" i="152"/>
  <c r="H24" i="152"/>
  <c r="H47" i="152"/>
  <c r="H16" i="152"/>
  <c r="H46" i="152"/>
  <c r="H45" i="150" l="1"/>
  <c r="H39" i="153"/>
  <c r="H33" i="150"/>
  <c r="H33" i="149"/>
  <c r="H39" i="150"/>
  <c r="H45" i="152"/>
  <c r="H18" i="149"/>
  <c r="H28" i="152"/>
  <c r="H28" i="153"/>
  <c r="H28" i="149"/>
  <c r="H39" i="149"/>
  <c r="H18" i="153"/>
  <c r="H45" i="153"/>
  <c r="H9" i="150"/>
  <c r="H9" i="149"/>
  <c r="H33" i="152"/>
  <c r="H39" i="152"/>
  <c r="H9" i="153"/>
  <c r="H28" i="150"/>
  <c r="H18" i="150"/>
  <c r="H45" i="149"/>
  <c r="H33" i="153"/>
  <c r="H18" i="152"/>
  <c r="H9" i="152"/>
  <c r="H50" i="150"/>
  <c r="H50" i="153"/>
  <c r="H50" i="152"/>
  <c r="G45" i="145"/>
  <c r="G43" i="145" s="1"/>
  <c r="G50" i="145" s="1"/>
  <c r="H19" i="147"/>
  <c r="H12" i="147"/>
  <c r="H30" i="147"/>
  <c r="H35" i="147"/>
  <c r="H47" i="147"/>
  <c r="H22" i="147"/>
  <c r="H36" i="147"/>
  <c r="H24" i="147"/>
  <c r="H41" i="147"/>
  <c r="H23" i="147"/>
  <c r="H40" i="147"/>
  <c r="H13" i="147"/>
  <c r="H20" i="147"/>
  <c r="H7" i="147"/>
  <c r="H10" i="147"/>
  <c r="H14" i="147"/>
  <c r="H21" i="147"/>
  <c r="H48" i="147"/>
  <c r="H29" i="147"/>
  <c r="H37" i="147"/>
  <c r="H26" i="147"/>
  <c r="H34" i="147"/>
  <c r="H31" i="147"/>
  <c r="H16" i="147"/>
  <c r="D17" i="159"/>
  <c r="H11" i="147"/>
  <c r="H46" i="147"/>
  <c r="H29" i="151"/>
  <c r="H13" i="151"/>
  <c r="H34" i="151"/>
  <c r="H48" i="151"/>
  <c r="H40" i="151"/>
  <c r="H11" i="151"/>
  <c r="H47" i="151"/>
  <c r="H22" i="151"/>
  <c r="H35" i="151"/>
  <c r="H26" i="151"/>
  <c r="H7" i="151"/>
  <c r="H24" i="151"/>
  <c r="H16" i="151"/>
  <c r="H41" i="151"/>
  <c r="H19" i="151"/>
  <c r="H10" i="151"/>
  <c r="H36" i="151"/>
  <c r="H23" i="151"/>
  <c r="H37" i="151"/>
  <c r="H31" i="151"/>
  <c r="H20" i="151"/>
  <c r="H21" i="151"/>
  <c r="H14" i="151"/>
  <c r="D23" i="159"/>
  <c r="H30" i="151"/>
  <c r="H12" i="151"/>
  <c r="H46" i="151"/>
  <c r="G50" i="138"/>
  <c r="H43" i="138" s="1"/>
  <c r="E14" i="125"/>
  <c r="E16" i="125"/>
  <c r="E12" i="125"/>
  <c r="H31" i="146"/>
  <c r="H37" i="146"/>
  <c r="H7" i="146"/>
  <c r="H16" i="146"/>
  <c r="H47" i="146"/>
  <c r="D15" i="159"/>
  <c r="H48" i="146"/>
  <c r="H23" i="146"/>
  <c r="H12" i="146"/>
  <c r="H36" i="146"/>
  <c r="H41" i="146"/>
  <c r="H34" i="146"/>
  <c r="H29" i="146"/>
  <c r="H21" i="146"/>
  <c r="H22" i="146"/>
  <c r="H40" i="146"/>
  <c r="H35" i="146"/>
  <c r="H13" i="146"/>
  <c r="H24" i="146"/>
  <c r="H14" i="146"/>
  <c r="H20" i="146"/>
  <c r="H19" i="146"/>
  <c r="H30" i="146"/>
  <c r="H11" i="146"/>
  <c r="H10" i="146"/>
  <c r="H26" i="146"/>
  <c r="H46" i="146"/>
  <c r="H50" i="149"/>
  <c r="E11" i="125"/>
  <c r="H39" i="147" l="1"/>
  <c r="H28" i="146"/>
  <c r="H45" i="146"/>
  <c r="H33" i="147"/>
  <c r="H9" i="146"/>
  <c r="H33" i="146"/>
  <c r="H9" i="151"/>
  <c r="H45" i="147"/>
  <c r="H28" i="147"/>
  <c r="H39" i="146"/>
  <c r="H18" i="146"/>
  <c r="H33" i="151"/>
  <c r="H18" i="151"/>
  <c r="H28" i="151"/>
  <c r="H18" i="147"/>
  <c r="H39" i="151"/>
  <c r="H9" i="147"/>
  <c r="H45" i="151"/>
  <c r="H50" i="146"/>
  <c r="H24" i="138"/>
  <c r="H22" i="138"/>
  <c r="H11" i="138"/>
  <c r="H29" i="138"/>
  <c r="H47" i="138"/>
  <c r="H20" i="138"/>
  <c r="H23" i="138"/>
  <c r="H7" i="138"/>
  <c r="H36" i="138"/>
  <c r="D13" i="159"/>
  <c r="H10" i="138"/>
  <c r="H26" i="138"/>
  <c r="H16" i="138"/>
  <c r="H12" i="138"/>
  <c r="H30" i="138"/>
  <c r="H35" i="138"/>
  <c r="H41" i="138"/>
  <c r="H13" i="138"/>
  <c r="H14" i="138"/>
  <c r="H37" i="138"/>
  <c r="H40" i="138"/>
  <c r="H48" i="138"/>
  <c r="H34" i="138"/>
  <c r="H19" i="138"/>
  <c r="H31" i="138"/>
  <c r="H21" i="138"/>
  <c r="H46" i="138"/>
  <c r="E10" i="125"/>
  <c r="H50" i="151"/>
  <c r="E9" i="125"/>
  <c r="E13" i="125"/>
  <c r="H50" i="147"/>
  <c r="H43" i="145"/>
  <c r="H39" i="138" l="1"/>
  <c r="H18" i="138"/>
  <c r="H33" i="138"/>
  <c r="H28" i="138"/>
  <c r="H45" i="138"/>
  <c r="H9" i="138"/>
  <c r="D32" i="159"/>
  <c r="E8" i="125"/>
  <c r="H47" i="145"/>
  <c r="H21" i="145"/>
  <c r="H24" i="145"/>
  <c r="H13" i="145"/>
  <c r="H40" i="145"/>
  <c r="H11" i="145"/>
  <c r="H41" i="145"/>
  <c r="H26" i="145"/>
  <c r="H16" i="145"/>
  <c r="H12" i="145"/>
  <c r="H19" i="145"/>
  <c r="H22" i="145"/>
  <c r="H23" i="145"/>
  <c r="H7" i="145"/>
  <c r="H34" i="145"/>
  <c r="H20" i="145"/>
  <c r="H48" i="145"/>
  <c r="H29" i="145"/>
  <c r="H35" i="145"/>
  <c r="H30" i="145"/>
  <c r="H14" i="145"/>
  <c r="H10" i="145"/>
  <c r="H37" i="145"/>
  <c r="H36" i="145"/>
  <c r="H31" i="145"/>
  <c r="H46" i="145"/>
  <c r="H50" i="138"/>
  <c r="E27" i="159" l="1"/>
  <c r="H18" i="145"/>
  <c r="H45" i="145"/>
  <c r="H28" i="145"/>
  <c r="H33" i="145"/>
  <c r="H9" i="145"/>
  <c r="H39" i="145"/>
  <c r="H50" i="145"/>
  <c r="E17" i="125"/>
  <c r="D15" i="125" s="1"/>
  <c r="E29" i="159"/>
  <c r="E21" i="159"/>
  <c r="E19" i="159"/>
  <c r="E25" i="159"/>
  <c r="E17" i="159"/>
  <c r="E23" i="159"/>
  <c r="E15" i="159"/>
  <c r="E13" i="159"/>
  <c r="E32" i="159" l="1"/>
  <c r="D14" i="125"/>
  <c r="D12" i="125"/>
  <c r="D11" i="125"/>
  <c r="D16" i="125"/>
  <c r="D13" i="125"/>
  <c r="D10" i="125"/>
  <c r="D9" i="125"/>
  <c r="D8" i="125"/>
  <c r="D17" i="12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Teixeira Tereza</author>
  </authors>
  <commentList>
    <comment ref="B40" authorId="0" shapeId="0" xr:uid="{52D52BDA-F305-4603-BBAC-0569A02BB01E}">
      <text>
        <r>
          <rPr>
            <b/>
            <sz val="9"/>
            <color indexed="81"/>
            <rFont val="Segoe UI"/>
            <family val="2"/>
          </rPr>
          <t xml:space="preserve">Editar somente as células em amarelo
(excluir anotação após o preenchimento)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lorenacp</author>
  </authors>
  <commentList>
    <comment ref="N2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http://www.sasp.org.br/index.php/piso-salarial.html</t>
        </r>
      </text>
    </comment>
    <comment ref="P22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114% de impostos</t>
        </r>
      </text>
    </comment>
    <comment ref="N23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http://www.assistentesocial.com.br/perguntas.php</t>
        </r>
      </text>
    </comment>
  </commentList>
</comments>
</file>

<file path=xl/sharedStrings.xml><?xml version="1.0" encoding="utf-8"?>
<sst xmlns="http://schemas.openxmlformats.org/spreadsheetml/2006/main" count="1109" uniqueCount="304">
  <si>
    <t xml:space="preserve">ORÇAMENTO PARA ELABORAÇÃO DE PROJETOS DE SISTEMA DE ESGOTAMENTO SANITÁRIO </t>
  </si>
  <si>
    <t>CBH DOCE</t>
  </si>
  <si>
    <t>GOVERNO DO ESTADO DO RIO DE JANEIRO</t>
  </si>
  <si>
    <t>SECRETARIA DE ESTADO DO AMBIENTE - SEA</t>
  </si>
  <si>
    <t>Planilha Orçamentária</t>
  </si>
  <si>
    <t>I0 = AGO/2011</t>
  </si>
  <si>
    <t>Projeto: ELABORAÇÃO DE PLANO MUNICIPAL DE SANEAMENTO NAS MODALIDADES ÁGUA, ESGOTO E DRENAGEM URBANA  PARA MUNICÍPIOS COM POPULAÇÃO ATÉ 15 MIL HABITANTES</t>
  </si>
  <si>
    <t>ITEM</t>
  </si>
  <si>
    <t>DESCRIÇÃO</t>
  </si>
  <si>
    <t>Código</t>
  </si>
  <si>
    <t>Unid.</t>
  </si>
  <si>
    <t>Quant.</t>
  </si>
  <si>
    <t>Preço unit.</t>
  </si>
  <si>
    <t>Custo total</t>
  </si>
  <si>
    <t>EMOP JUL/11</t>
  </si>
  <si>
    <t>Supervisão e Suporte</t>
  </si>
  <si>
    <t>h/mês</t>
  </si>
  <si>
    <t>nº meses</t>
  </si>
  <si>
    <t>nº prof.</t>
  </si>
  <si>
    <t>0.1</t>
  </si>
  <si>
    <t>05.105.034-0</t>
  </si>
  <si>
    <t>h</t>
  </si>
  <si>
    <t>0.2</t>
  </si>
  <si>
    <t>05.105.038-0</t>
  </si>
  <si>
    <t>0.3</t>
  </si>
  <si>
    <t>05.105.041-0</t>
  </si>
  <si>
    <t>Plano de Trabalho (P1) e Projeto de Comunicação e Mobilização Social (P2)</t>
  </si>
  <si>
    <t>P1 + P2</t>
  </si>
  <si>
    <t>1.1</t>
  </si>
  <si>
    <t>MÃO-DE-OBRA DE ADVOGADO OU ASSESSOR JURÍDICO</t>
  </si>
  <si>
    <t>1.2</t>
  </si>
  <si>
    <t xml:space="preserve">MÃO-DE-OBRA DE ASSISTENTE SOCIAL </t>
  </si>
  <si>
    <t>1.3</t>
  </si>
  <si>
    <t>MÃO-DE-OBRA DE ECONOMISTA</t>
  </si>
  <si>
    <t>1.4</t>
  </si>
  <si>
    <t>05.105.033-0</t>
  </si>
  <si>
    <t>1.5</t>
  </si>
  <si>
    <t>05.105.032-0</t>
  </si>
  <si>
    <t>1.6</t>
  </si>
  <si>
    <t>05.105.026-0</t>
  </si>
  <si>
    <t>1.7</t>
  </si>
  <si>
    <t>05.105.035-0</t>
  </si>
  <si>
    <t>1.8</t>
  </si>
  <si>
    <t>05.105.025-0</t>
  </si>
  <si>
    <t xml:space="preserve"> Caracterização do Município (P3)</t>
  </si>
  <si>
    <t>P3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</si>
  <si>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</si>
  <si>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</si>
  <si>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</si>
  <si>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</si>
  <si>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</si>
  <si>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</si>
  <si>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</si>
  <si>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</si>
  <si>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</si>
  <si>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19.004.042-2</t>
  </si>
  <si>
    <t>Diagnóstico dos Serviços de Abastecimento de Água Potável (P4),  Esgotamento Sanitário e Drenagem Pluvial Urbana (P5)</t>
  </si>
  <si>
    <t>P4</t>
  </si>
  <si>
    <t>3.1</t>
  </si>
  <si>
    <t>3.2</t>
  </si>
  <si>
    <t>3.3</t>
  </si>
  <si>
    <t>3.4</t>
  </si>
  <si>
    <t>3.5</t>
  </si>
  <si>
    <t>3.6</t>
  </si>
  <si>
    <t>05.105.050-0</t>
  </si>
  <si>
    <t>3.7</t>
  </si>
  <si>
    <t>3.8</t>
  </si>
  <si>
    <t>3.9</t>
  </si>
  <si>
    <t>3.10</t>
  </si>
  <si>
    <t xml:space="preserve"> Proposição de  Arranjos Institucionais, Jurídicos e Econômico-Financeiros (P6), Sistemas de Abastecimento de Água (P7), Sistemas de Esgotamento Sanitário e Drenagem Pluvial Urbana (P8)</t>
  </si>
  <si>
    <t>P6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</si>
  <si>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</si>
  <si>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</si>
  <si>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</si>
  <si>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</si>
  <si>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</si>
  <si>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</si>
  <si>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</si>
  <si>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</si>
  <si>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</si>
  <si>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</si>
  <si>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Versão Preliminar do Plano (P9)</t>
  </si>
  <si>
    <t>P9</t>
  </si>
  <si>
    <t>5.1</t>
  </si>
  <si>
    <t>5.2</t>
  </si>
  <si>
    <t>5.3</t>
  </si>
  <si>
    <t>5.4</t>
  </si>
  <si>
    <t>5.5</t>
  </si>
  <si>
    <t>5.6</t>
  </si>
  <si>
    <t>5.7</t>
  </si>
  <si>
    <t>5.8</t>
  </si>
  <si>
    <t>Versão Final do Plano (P10) e Banco de Dados (P11)</t>
  </si>
  <si>
    <t>P10</t>
  </si>
  <si>
    <t>P11</t>
  </si>
  <si>
    <t>6.1</t>
  </si>
  <si>
    <t>6.2</t>
  </si>
  <si>
    <t>6.3</t>
  </si>
  <si>
    <t>6.4</t>
  </si>
  <si>
    <t>MAO-DE-OBRA DE TÉCNICO DE GEOPROCESSAMENTO</t>
  </si>
  <si>
    <t>6.5</t>
  </si>
  <si>
    <t>Sub total Planos Municipais de Saneamento</t>
  </si>
  <si>
    <t>Sub total Planos Municipais de Saneamento (c/ BDI 16%)</t>
  </si>
  <si>
    <t>meses</t>
  </si>
  <si>
    <t xml:space="preserve">TOTAL </t>
  </si>
  <si>
    <t>BDI (8%)</t>
  </si>
  <si>
    <t>TOTAL GERAL</t>
  </si>
  <si>
    <t>CRONOGRAMA FÍSICO-FINANCEIRO</t>
  </si>
  <si>
    <t>Projeto: ELABORAÇÃO DE PLANO MUNICIPAL DE SANEAMENTO NAS MODALIDADES ÁGUA, ESGOTO E DRENAGEM URBANA, PARA MUNICÍPIOS COM POPULAÇÃO ENTRE 15 E 30 MIL HABITANTES</t>
  </si>
  <si>
    <t>Atividade</t>
  </si>
  <si>
    <t>Supervisão/mês</t>
  </si>
  <si>
    <t>DIAS</t>
  </si>
  <si>
    <t>Plano de Trabalho e Projeto de Comunicação e Mobilização Social (P1+P2)</t>
  </si>
  <si>
    <t>Caracterização do Município (P3)</t>
  </si>
  <si>
    <t>Diagnóstico do Serviço de Abastecimento de Água Potável (P4),  Esgotamento Sanitário e Drenagem Pluvial Urbana (P5)</t>
  </si>
  <si>
    <t>Proposição de  Arranjos Institucionais, Jurídicos e Econômico-Financeiros (P6), sistemas de Abastecimento de Água (P7), esgotamento sanitário e drenagem pluvial urbana (P8)</t>
  </si>
  <si>
    <t>Versão Preliminar do PMSB (P9)</t>
  </si>
  <si>
    <t>Banco de Dados (P10) e Versão Final do Plano (P11)</t>
  </si>
  <si>
    <t>Total</t>
  </si>
  <si>
    <t>Total Acumulado</t>
  </si>
  <si>
    <t>Total (%)</t>
  </si>
  <si>
    <t>Total Acumulado (%)</t>
  </si>
  <si>
    <t>DEFINIÇÕES GERAIS</t>
  </si>
  <si>
    <t>ENCARGOS SOCIAIS</t>
  </si>
  <si>
    <t>Encargos Sociais e Benefícios aos Trabalhadores – encargos incidentes sobre a folha de pagamento, encargos demissionais, benefícios pagos ao trabalhador e demais custos que deverão ser pagos ou apropriados para quitação quando devidos, tais como: férias e abono de férias, 13° salário, auxílio refeição, auxílio transporte, plano de saúde, seguro de vida, abonos legais etc.</t>
  </si>
  <si>
    <t>DESPESAS INDIRETAS</t>
  </si>
  <si>
    <t>Despesas não apropriadas diretamente nos custos do contrato, como por exemplo: funcionários administrativos, assessoria jurídica, assessoria contábil, telefonia, água e luz, aluguel e manutenção de sede, atestados, certidões, cartórios etc., tarifas bancárias, segurança, manutenção de equipamentos, licenças de usos e atualização de software, hardware, seguros, impostos e taxas não vinculados com o faturamento, papelaria, mercado, livros, jornais e
revistas, despesas comerciais etc.</t>
  </si>
  <si>
    <t>DESPESAS LEGAIS TRIBUTOS</t>
  </si>
  <si>
    <t>Impostos e contribuições incidentes sobre o faturamento ou o resultado da empresa: PIS, COFINS e Imposto sobre Serviço.</t>
  </si>
  <si>
    <t>SERVIÇOS DE APOIO TÉCNICO</t>
  </si>
  <si>
    <t>São serviços complementares, executados por profissionais ou empresas subcontratados, e que são necessários para o desenvolvimento dos trabalhos de arquitetura e engenharia consultiva. Diferenciam-se das despesas diretas por serem atividades e serviços vinculados à responsabilidade técnica inerente ao trabalho da consultoria. Dentre estes serviços pode-se destacar: levantamentos topográficos e cadastrais, sondagens, ensaios geotécnicos, ensaios e análises laboratoriais (biológicos e físico-químicos), ensaios em cimento, agregados, aço, concreto, solo, pavimento etc.</t>
  </si>
  <si>
    <t>DESPESAS DIRETAS</t>
  </si>
  <si>
    <t>As despesas diretas são gastos decorrentes diretamente da execução do contrato, relacionados com materiais, serviços e equipamentos, alocados exclusivamente para o cumprimento do contrato em questão. Como exemplo destas despesas pode-se citar: impressão de desenhos, cópias Reprográficas, encadernações, fotografias, mídias, locação de veículo, diárias, refeições, passagens aéreas etc.</t>
  </si>
  <si>
    <t>Dados primários para quantificação de projetos de esgotamento sanitário</t>
  </si>
  <si>
    <t>Data:</t>
  </si>
  <si>
    <t>Comitê:</t>
  </si>
  <si>
    <t>Município:</t>
  </si>
  <si>
    <t>DISCRIMINAÇÃO</t>
  </si>
  <si>
    <t>VALORES</t>
  </si>
  <si>
    <t>UNIDADE</t>
  </si>
  <si>
    <t>FONTE</t>
  </si>
  <si>
    <t>Localidade</t>
  </si>
  <si>
    <t>População total do município</t>
  </si>
  <si>
    <t>habitantes</t>
  </si>
  <si>
    <t>LEGENDA:</t>
  </si>
  <si>
    <t>População urbana do município</t>
  </si>
  <si>
    <t>Dados inseridos</t>
  </si>
  <si>
    <t>População total atual estimada do município</t>
  </si>
  <si>
    <t>Calculado</t>
  </si>
  <si>
    <t>População urbana atual das localidades</t>
  </si>
  <si>
    <t>Área territorial do município</t>
  </si>
  <si>
    <t>km²</t>
  </si>
  <si>
    <t>Área de abrangência do projeto</t>
  </si>
  <si>
    <t>Calculado - Google Earth</t>
  </si>
  <si>
    <t>Número de habitantes por domicílio</t>
  </si>
  <si>
    <t>hab/dom</t>
  </si>
  <si>
    <t xml:space="preserve">Número de domicílios urbanos </t>
  </si>
  <si>
    <t>unidades</t>
  </si>
  <si>
    <t>Percentual de domicílios urbanos com saneamento adequado</t>
  </si>
  <si>
    <t>%</t>
  </si>
  <si>
    <t>Número de domicílios da área de abrangência do projeto</t>
  </si>
  <si>
    <t>Número estimado de Ramais Prediais para Cadastro</t>
  </si>
  <si>
    <t>Metros de rede por domicílio</t>
  </si>
  <si>
    <t>m/dom</t>
  </si>
  <si>
    <t>Número Estimados de Poços de Visita (PVs)*</t>
  </si>
  <si>
    <t>População urbana beneficiada pelo projeto</t>
  </si>
  <si>
    <t>Estimativa rede de esgoto a ser cadastrada</t>
  </si>
  <si>
    <t>km</t>
  </si>
  <si>
    <t>Estimativa rede de esgoto a ser projetada</t>
  </si>
  <si>
    <t xml:space="preserve">*Adotou-se o valor de 0,80m como Distância entre Poços de Visita (PVs) adotada, considerando que a SABESP recomenda que esta seja a distância máxima adotada para elaborar projetos de Sistema de Esgotamento Sanitário, devido aos equipamentos de manutenção. (Norma Técnica SABESP NTS 25/2020) </t>
  </si>
  <si>
    <t xml:space="preserve">ORÇAMENTO PARA ELABORAÇÃO DE PROJETO DE SISTEMA DE ESGOTAMENTO SANITÁRIO </t>
  </si>
  <si>
    <t>Custos de referência</t>
  </si>
  <si>
    <t>ESPECIFICAÇÃO</t>
  </si>
  <si>
    <t>HORAS</t>
  </si>
  <si>
    <t>CUSTO (R$)</t>
  </si>
  <si>
    <t>MÊS</t>
  </si>
  <si>
    <t>MENSAL</t>
  </si>
  <si>
    <t>UNITÁRIO</t>
  </si>
  <si>
    <t>EQUIPE TÉCNICA PERMANENTE</t>
  </si>
  <si>
    <t>PERMANENTE</t>
  </si>
  <si>
    <t>a)</t>
  </si>
  <si>
    <t>Engenheiro Coordenador</t>
  </si>
  <si>
    <t>hora</t>
  </si>
  <si>
    <t>b)</t>
  </si>
  <si>
    <t>Engenheiro de Projetos Pleno</t>
  </si>
  <si>
    <t>c)</t>
  </si>
  <si>
    <t>Engenheiro de Projetos Júnior</t>
  </si>
  <si>
    <t>d)</t>
  </si>
  <si>
    <t>Técnico cadista</t>
  </si>
  <si>
    <t>e)</t>
  </si>
  <si>
    <t>Auxiliar Administrativo</t>
  </si>
  <si>
    <t>EQUIPE DE CONSULTORES</t>
  </si>
  <si>
    <t>CONSULTORES</t>
  </si>
  <si>
    <t>Advogado sênior</t>
  </si>
  <si>
    <t>Engenheiro de Projetos (Elétrico)</t>
  </si>
  <si>
    <t>Engenheiro de Projeto (Calculista)</t>
  </si>
  <si>
    <t>Engenheiro de Projetos (Mecânico)</t>
  </si>
  <si>
    <t>Engenheiro ambiental</t>
  </si>
  <si>
    <t>f)</t>
  </si>
  <si>
    <t>Técnico em geoprocessamento</t>
  </si>
  <si>
    <t xml:space="preserve">SERVIÇO DE SONDAGEM </t>
  </si>
  <si>
    <t>Sondagem a percussao - mobilizacao e desmobilizacao</t>
  </si>
  <si>
    <t>unidade</t>
  </si>
  <si>
    <t>-</t>
  </si>
  <si>
    <t>Sondagem a percussao - adicional de mobilizacao e desmobilizacao</t>
  </si>
  <si>
    <t>Sondagem a percussao - instalacao por furo</t>
  </si>
  <si>
    <t>Sondagem a percussao ø2.1/2" - perfuracao e retirada de amostras</t>
  </si>
  <si>
    <t>m</t>
  </si>
  <si>
    <t>SERVIÇOS DE TOPOGRAFIA</t>
  </si>
  <si>
    <t>Mobilização e desmobilização de equipe de topografia</t>
  </si>
  <si>
    <t>Equipe de topografia de campo</t>
  </si>
  <si>
    <t>mês</t>
  </si>
  <si>
    <t>Equipe de topografia de escritório</t>
  </si>
  <si>
    <t>CADASTRO TÉCNICO</t>
  </si>
  <si>
    <t>OUTRAS DESPESAS</t>
  </si>
  <si>
    <t>Veículo tipo pick-up 4X4</t>
  </si>
  <si>
    <t>Refeições</t>
  </si>
  <si>
    <t>Diárias</t>
  </si>
  <si>
    <t>Detalhamento do Fator K</t>
  </si>
  <si>
    <t>DETALHAMENTO DO FATOR K</t>
  </si>
  <si>
    <t>L - LUCRO</t>
  </si>
  <si>
    <t>DFL - DESPESAS FISCAIS LEGAIS</t>
  </si>
  <si>
    <t>DFL=(PIS+COFINS+ISS)/(1-PIS+COFINS+ISS)</t>
  </si>
  <si>
    <t xml:space="preserve">PIS </t>
  </si>
  <si>
    <t>COFINS</t>
  </si>
  <si>
    <t>K1</t>
  </si>
  <si>
    <t>Permanente</t>
  </si>
  <si>
    <t>K1 = [(1+ES+ARDF)*(1+L)*(1+DFL)]</t>
  </si>
  <si>
    <t>K2</t>
  </si>
  <si>
    <t>Consultores</t>
  </si>
  <si>
    <t>K2 = [(1+ESA+ARDF)*(1+L)*(1+DFL)]</t>
  </si>
  <si>
    <t>K3</t>
  </si>
  <si>
    <t>Serviço de Apoio Técnico</t>
  </si>
  <si>
    <t>K3 = [(1+ARDF)*(1+L)*(1+DFL)]</t>
  </si>
  <si>
    <t>K4</t>
  </si>
  <si>
    <t>Despesas diretas</t>
  </si>
  <si>
    <t>K4 = (1+L)*(1+DFL)</t>
  </si>
  <si>
    <t>R$/dia</t>
  </si>
  <si>
    <t>R$</t>
  </si>
  <si>
    <t>PRODUTO</t>
  </si>
  <si>
    <t>Plano de Trabalho</t>
  </si>
  <si>
    <t>Estudos Topográficos</t>
  </si>
  <si>
    <t>Estudo de Concepção</t>
  </si>
  <si>
    <t>Projeto Básico</t>
  </si>
  <si>
    <t>Estudos Geotécnicos</t>
  </si>
  <si>
    <t>Projeto Executivo</t>
  </si>
  <si>
    <t>TOTAL</t>
  </si>
  <si>
    <t>Cadastro Técnico</t>
  </si>
  <si>
    <t>Produto 1:</t>
  </si>
  <si>
    <t>Item</t>
  </si>
  <si>
    <t>Descrição</t>
  </si>
  <si>
    <t>Custo unitário 
(R$)</t>
  </si>
  <si>
    <t>Quantitativo</t>
  </si>
  <si>
    <t>Custo total
(R$)</t>
  </si>
  <si>
    <t>Custo total com K 
(R$)</t>
  </si>
  <si>
    <t>Peso
(%)</t>
  </si>
  <si>
    <t>4.</t>
  </si>
  <si>
    <t>VALOR TOTAL - Inclusos K's</t>
  </si>
  <si>
    <t>Produto 2:</t>
  </si>
  <si>
    <t>Produto 3:</t>
  </si>
  <si>
    <t>Produto 4:</t>
  </si>
  <si>
    <t>Produto 5:</t>
  </si>
  <si>
    <t>Produto 6:</t>
  </si>
  <si>
    <t>Produto 7:</t>
  </si>
  <si>
    <t>Produto 8:</t>
  </si>
  <si>
    <t>Produto Consolidado</t>
  </si>
  <si>
    <t>Cronograma físico-financeiro</t>
  </si>
  <si>
    <t xml:space="preserve">CRONOGRAMA </t>
  </si>
  <si>
    <t>ETAPA PRODUTO</t>
  </si>
  <si>
    <t>Repasse</t>
  </si>
  <si>
    <t>Percentual</t>
  </si>
  <si>
    <t>Emissão da Ordem de Serviço</t>
  </si>
  <si>
    <t>Correção e entrega versão final do produto</t>
  </si>
  <si>
    <t>Elaboração do produto e entrega da minuta</t>
  </si>
  <si>
    <t xml:space="preserve">Análise da versão final do produto </t>
  </si>
  <si>
    <t xml:space="preserve">Análise e revisão do produto </t>
  </si>
  <si>
    <t>Período para pagamento</t>
  </si>
  <si>
    <t>Custo por produto</t>
  </si>
  <si>
    <t>PERCENTUAL</t>
  </si>
  <si>
    <t>Produto 7a:</t>
  </si>
  <si>
    <t>Finalização Contratual</t>
  </si>
  <si>
    <t>Finalização contratual interna</t>
  </si>
  <si>
    <t>Estudo Ambiental - Parte 1</t>
  </si>
  <si>
    <t xml:space="preserve"> </t>
  </si>
  <si>
    <t>Estudo Ambiental - Parte 2</t>
  </si>
  <si>
    <t>Inserir Nome da Empresa</t>
  </si>
  <si>
    <t>ISS</t>
  </si>
  <si>
    <t>Inserir nome do responsável pelo proposta</t>
  </si>
  <si>
    <t>Inserir nº do CREA</t>
  </si>
  <si>
    <t>Inserir nº da ART</t>
  </si>
  <si>
    <t>ES - ENCARGOS SOCIAIS</t>
  </si>
  <si>
    <t xml:space="preserve"> (Percentual para composição do fator K1 - Equipe Permanente)</t>
  </si>
  <si>
    <r>
      <t>ESA - ENCARGOS SOCIAIS SOBRE RPA</t>
    </r>
    <r>
      <rPr>
        <sz val="11"/>
        <color rgb="FFFF0000"/>
        <rFont val="Calibri Light"/>
        <family val="2"/>
      </rPr>
      <t xml:space="preserve"> </t>
    </r>
  </si>
  <si>
    <t>(Percentual para composição do fator K2 - Equipe de Consultores)</t>
  </si>
  <si>
    <r>
      <t xml:space="preserve">ARDF - ADMINISTRAÇÃO, RISCO E DESPESAS FINANCEIRAS </t>
    </r>
    <r>
      <rPr>
        <sz val="11"/>
        <color rgb="FFFF0000"/>
        <rFont val="Calibri Light"/>
        <family val="2"/>
      </rPr>
      <t xml:space="preserve"> </t>
    </r>
  </si>
  <si>
    <t>(Conforme Regime Tributário da Proponente)</t>
  </si>
  <si>
    <t>Inserir data na capa</t>
  </si>
  <si>
    <t>preencher</t>
  </si>
  <si>
    <t>IBGE 2010</t>
  </si>
  <si>
    <t>IBGE-2010</t>
  </si>
  <si>
    <t>Resplendor/MG</t>
  </si>
  <si>
    <t>Distritos de Horácio e Bom Pastor</t>
  </si>
  <si>
    <t>IBGE - CENSO 2022</t>
  </si>
  <si>
    <t>IBGE - CENSO 2010</t>
  </si>
  <si>
    <t>Prefeitura de Resplendor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</si>
</sst>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mmmm\,\ yyyy;@"/>
    <numFmt numFmtId="168" formatCode="#,##0.000"/>
    <numFmt numFmtId="169" formatCode="0.0%"/>
  </numFmts>
  <fonts count="7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 Light"/>
      <family val="2"/>
    </font>
    <font>
      <b/>
      <sz val="11"/>
      <color theme="0"/>
      <name val="Calibri Light"/>
      <family val="2"/>
    </font>
    <font>
      <b/>
      <sz val="11"/>
      <color theme="1" tint="0.14999847407452621"/>
      <name val="Calibri Light"/>
      <family val="2"/>
    </font>
    <font>
      <b/>
      <sz val="12"/>
      <color theme="1" tint="0.14999847407452621"/>
      <name val="Calibri Light"/>
      <family val="2"/>
    </font>
    <font>
      <sz val="12"/>
      <color theme="1" tint="0.14999847407452621"/>
      <name val="Calibri Light"/>
      <family val="2"/>
    </font>
    <font>
      <b/>
      <sz val="16"/>
      <color theme="1" tint="0.14999847407452621"/>
      <name val="Calibri Light"/>
      <family val="2"/>
    </font>
    <font>
      <sz val="16"/>
      <color theme="1" tint="0.14999847407452621"/>
      <name val="Calibri Light"/>
      <family val="2"/>
    </font>
    <font>
      <sz val="11"/>
      <color theme="1" tint="0.14999847407452621"/>
      <name val="Calibri Light"/>
      <family val="2"/>
    </font>
    <font>
      <sz val="10"/>
      <color theme="1" tint="0.14999847407452621"/>
      <name val="Calibri Light"/>
      <family val="2"/>
    </font>
    <font>
      <sz val="9"/>
      <color theme="1" tint="0.14999847407452621"/>
      <name val="Calibri Light"/>
      <family val="2"/>
    </font>
    <font>
      <b/>
      <sz val="10"/>
      <color theme="1" tint="0.14999847407452621"/>
      <name val="Calibri Light"/>
      <family val="2"/>
    </font>
    <font>
      <sz val="8"/>
      <color theme="1" tint="0.14999847407452621"/>
      <name val="Calibri Light"/>
      <family val="2"/>
    </font>
    <font>
      <b/>
      <i/>
      <sz val="12"/>
      <color theme="1" tint="0.14999847407452621"/>
      <name val="Calibri Light"/>
      <family val="2"/>
    </font>
    <font>
      <i/>
      <sz val="11"/>
      <color theme="1" tint="0.14999847407452621"/>
      <name val="Calibri Light"/>
      <family val="2"/>
    </font>
    <font>
      <b/>
      <i/>
      <sz val="11"/>
      <color theme="1" tint="0.14999847407452621"/>
      <name val="Calibri Light"/>
      <family val="2"/>
    </font>
    <font>
      <i/>
      <sz val="10"/>
      <color theme="1" tint="0.14999847407452621"/>
      <name val="Calibri Light"/>
      <family val="2"/>
    </font>
    <font>
      <b/>
      <i/>
      <sz val="10"/>
      <color theme="1" tint="0.14999847407452621"/>
      <name val="Calibri Light"/>
      <family val="2"/>
    </font>
    <font>
      <b/>
      <i/>
      <sz val="10"/>
      <color theme="0"/>
      <name val="Calibri Light"/>
      <family val="2"/>
    </font>
    <font>
      <sz val="12"/>
      <name val="Calibri Light"/>
      <family val="2"/>
    </font>
    <font>
      <b/>
      <sz val="12"/>
      <color theme="0"/>
      <name val="Calibri Light"/>
      <family val="2"/>
    </font>
    <font>
      <i/>
      <sz val="12"/>
      <color theme="1" tint="0.14999847407452621"/>
      <name val="Calibri Light"/>
      <family val="2"/>
    </font>
    <font>
      <b/>
      <sz val="12"/>
      <name val="Calibri Light"/>
      <family val="2"/>
    </font>
    <font>
      <b/>
      <sz val="12"/>
      <color theme="1"/>
      <name val="Calibri Light"/>
      <family val="2"/>
    </font>
    <font>
      <sz val="12"/>
      <name val="Arial"/>
      <family val="2"/>
    </font>
    <font>
      <b/>
      <sz val="11"/>
      <name val="Calibri Light"/>
      <family val="2"/>
    </font>
    <font>
      <b/>
      <sz val="10"/>
      <color theme="1" tint="0.14999847407452621"/>
      <name val="Calibri "/>
    </font>
    <font>
      <sz val="10"/>
      <color theme="1" tint="0.14999847407452621"/>
      <name val="Calibri "/>
    </font>
    <font>
      <b/>
      <sz val="10"/>
      <color theme="0"/>
      <name val="Calibri "/>
    </font>
    <font>
      <b/>
      <sz val="10"/>
      <name val="Calibri "/>
    </font>
    <font>
      <sz val="10"/>
      <name val="Calibri "/>
    </font>
    <font>
      <sz val="10"/>
      <color rgb="FFFF0000"/>
      <name val="Calibri "/>
    </font>
    <font>
      <b/>
      <sz val="10"/>
      <name val="Calibri Light"/>
      <family val="2"/>
    </font>
    <font>
      <sz val="8"/>
      <name val="Arial"/>
      <family val="2"/>
    </font>
    <font>
      <sz val="10"/>
      <name val="Arial"/>
      <family val="2"/>
    </font>
    <font>
      <sz val="10"/>
      <color theme="0"/>
      <name val="Calibri 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FF0000"/>
      <name val="Calibri Light"/>
      <family val="2"/>
    </font>
    <font>
      <sz val="9"/>
      <color rgb="FFFF0000"/>
      <name val="Calibri Light"/>
      <family val="2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CC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/>
      <right/>
      <top style="thin">
        <color theme="0" tint="-0.14993743705557422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22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20" borderId="0" applyNumberFormat="0" applyBorder="0" applyAlignment="0" applyProtection="0"/>
    <xf numFmtId="0" fontId="19" fillId="8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22" applyNumberFormat="0" applyAlignment="0" applyProtection="0"/>
    <xf numFmtId="0" fontId="22" fillId="23" borderId="23" applyNumberFormat="0" applyAlignment="0" applyProtection="0"/>
    <xf numFmtId="0" fontId="23" fillId="0" borderId="24" applyNumberFormat="0" applyFill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4" fillId="30" borderId="22" applyNumberFormat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18" fillId="0" borderId="0"/>
    <xf numFmtId="0" fontId="14" fillId="33" borderId="25" applyNumberFormat="0" applyFont="0" applyAlignment="0" applyProtection="0"/>
    <xf numFmtId="9" fontId="5" fillId="0" borderId="0" applyFont="0" applyFill="0" applyBorder="0" applyAlignment="0" applyProtection="0"/>
    <xf numFmtId="0" fontId="27" fillId="22" borderId="26" applyNumberFormat="0" applyAlignment="0" applyProtection="0"/>
    <xf numFmtId="164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32" fillId="0" borderId="28" applyNumberFormat="0" applyFill="0" applyAlignment="0" applyProtection="0"/>
    <xf numFmtId="0" fontId="33" fillId="0" borderId="2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0" applyNumberFormat="0" applyFill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0" fontId="2" fillId="0" borderId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35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2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69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5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483">
    <xf numFmtId="0" fontId="0" fillId="0" borderId="0" xfId="0"/>
    <xf numFmtId="4" fontId="0" fillId="0" borderId="0" xfId="0" applyNumberFormat="1"/>
    <xf numFmtId="4" fontId="7" fillId="0" borderId="0" xfId="0" applyNumberFormat="1" applyFont="1"/>
    <xf numFmtId="1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justify" vertical="center"/>
    </xf>
    <xf numFmtId="0" fontId="6" fillId="0" borderId="2" xfId="0" applyFont="1" applyBorder="1" applyAlignment="1">
      <alignment horizontal="center" vertical="center" wrapText="1"/>
    </xf>
    <xf numFmtId="164" fontId="6" fillId="0" borderId="2" xfId="36" applyFont="1" applyBorder="1" applyAlignment="1">
      <alignment horizontal="center" vertical="center"/>
    </xf>
    <xf numFmtId="165" fontId="6" fillId="0" borderId="2" xfId="36" applyNumberFormat="1" applyFont="1" applyBorder="1" applyAlignment="1">
      <alignment vertical="center"/>
    </xf>
    <xf numFmtId="164" fontId="6" fillId="0" borderId="2" xfId="36" applyFont="1" applyBorder="1" applyAlignment="1">
      <alignment vertical="center"/>
    </xf>
    <xf numFmtId="164" fontId="6" fillId="0" borderId="3" xfId="36" applyFont="1" applyBorder="1" applyAlignment="1">
      <alignment vertical="center"/>
    </xf>
    <xf numFmtId="0" fontId="7" fillId="9" borderId="0" xfId="0" applyFont="1" applyFill="1" applyAlignment="1">
      <alignment horizontal="center" vertical="center"/>
    </xf>
    <xf numFmtId="0" fontId="7" fillId="9" borderId="0" xfId="0" applyFont="1" applyFill="1" applyAlignment="1">
      <alignment vertical="center" wrapText="1"/>
    </xf>
    <xf numFmtId="164" fontId="7" fillId="9" borderId="0" xfId="0" applyNumberFormat="1" applyFont="1" applyFill="1" applyAlignment="1">
      <alignment vertical="center" wrapText="1"/>
    </xf>
    <xf numFmtId="164" fontId="6" fillId="0" borderId="0" xfId="36" applyFont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11" fillId="9" borderId="0" xfId="0" applyFont="1" applyFill="1" applyAlignment="1">
      <alignment vertical="center" wrapText="1"/>
    </xf>
    <xf numFmtId="164" fontId="11" fillId="9" borderId="0" xfId="0" applyNumberFormat="1" applyFont="1" applyFill="1" applyAlignment="1">
      <alignment vertical="center" wrapText="1"/>
    </xf>
    <xf numFmtId="0" fontId="11" fillId="0" borderId="4" xfId="0" applyFont="1" applyBorder="1" applyAlignment="1">
      <alignment horizontal="center"/>
    </xf>
    <xf numFmtId="1" fontId="7" fillId="0" borderId="2" xfId="0" applyNumberFormat="1" applyFont="1" applyBorder="1" applyAlignment="1">
      <alignment horizontal="center" vertical="center"/>
    </xf>
    <xf numFmtId="165" fontId="7" fillId="0" borderId="2" xfId="36" applyNumberFormat="1" applyFont="1" applyBorder="1" applyAlignment="1">
      <alignment horizontal="center" vertical="center"/>
    </xf>
    <xf numFmtId="164" fontId="7" fillId="0" borderId="2" xfId="36" applyFont="1" applyBorder="1" applyAlignment="1">
      <alignment vertical="center"/>
    </xf>
    <xf numFmtId="164" fontId="7" fillId="0" borderId="3" xfId="36" applyFont="1" applyBorder="1" applyAlignment="1">
      <alignment horizontal="justify" vertical="center"/>
    </xf>
    <xf numFmtId="0" fontId="6" fillId="0" borderId="0" xfId="0" applyFont="1" applyAlignment="1">
      <alignment horizontal="center" vertical="center"/>
    </xf>
    <xf numFmtId="1" fontId="7" fillId="0" borderId="2" xfId="0" applyNumberFormat="1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4" fontId="0" fillId="0" borderId="5" xfId="0" applyNumberFormat="1" applyBorder="1"/>
    <xf numFmtId="4" fontId="6" fillId="0" borderId="5" xfId="0" applyNumberFormat="1" applyFont="1" applyBorder="1"/>
    <xf numFmtId="4" fontId="6" fillId="0" borderId="6" xfId="0" applyNumberFormat="1" applyFont="1" applyBorder="1"/>
    <xf numFmtId="4" fontId="6" fillId="0" borderId="7" xfId="0" applyNumberFormat="1" applyFont="1" applyBorder="1"/>
    <xf numFmtId="4" fontId="0" fillId="0" borderId="7" xfId="0" applyNumberFormat="1" applyBorder="1"/>
    <xf numFmtId="1" fontId="8" fillId="0" borderId="2" xfId="0" applyNumberFormat="1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9" borderId="10" xfId="0" applyFont="1" applyFill="1" applyBorder="1" applyAlignment="1">
      <alignment horizontal="center"/>
    </xf>
    <xf numFmtId="3" fontId="11" fillId="9" borderId="11" xfId="0" applyNumberFormat="1" applyFont="1" applyFill="1" applyBorder="1" applyAlignment="1">
      <alignment horizontal="center"/>
    </xf>
    <xf numFmtId="3" fontId="11" fillId="9" borderId="12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166" fontId="16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4" fontId="11" fillId="0" borderId="0" xfId="0" applyNumberFormat="1" applyFont="1" applyAlignment="1">
      <alignment vertical="center"/>
    </xf>
    <xf numFmtId="4" fontId="6" fillId="0" borderId="0" xfId="0" applyNumberFormat="1" applyFont="1"/>
    <xf numFmtId="4" fontId="6" fillId="10" borderId="0" xfId="0" applyNumberFormat="1" applyFont="1" applyFill="1"/>
    <xf numFmtId="4" fontId="6" fillId="10" borderId="6" xfId="0" applyNumberFormat="1" applyFont="1" applyFill="1" applyBorder="1"/>
    <xf numFmtId="0" fontId="6" fillId="0" borderId="13" xfId="0" applyFont="1" applyBorder="1"/>
    <xf numFmtId="0" fontId="6" fillId="0" borderId="14" xfId="0" applyFont="1" applyBorder="1"/>
    <xf numFmtId="0" fontId="6" fillId="10" borderId="13" xfId="0" applyFont="1" applyFill="1" applyBorder="1"/>
    <xf numFmtId="4" fontId="6" fillId="10" borderId="15" xfId="0" applyNumberFormat="1" applyFont="1" applyFill="1" applyBorder="1"/>
    <xf numFmtId="0" fontId="13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40" fillId="0" borderId="0" xfId="0" applyFont="1"/>
    <xf numFmtId="0" fontId="42" fillId="0" borderId="0" xfId="0" applyFont="1"/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justify" vertical="top" wrapText="1"/>
    </xf>
    <xf numFmtId="0" fontId="40" fillId="0" borderId="0" xfId="0" applyFont="1" applyAlignment="1">
      <alignment vertical="center" wrapText="1"/>
    </xf>
    <xf numFmtId="0" fontId="39" fillId="0" borderId="31" xfId="45" applyFont="1" applyBorder="1" applyAlignment="1">
      <alignment horizontal="left" vertical="center"/>
    </xf>
    <xf numFmtId="0" fontId="40" fillId="0" borderId="31" xfId="45" applyFont="1" applyBorder="1"/>
    <xf numFmtId="4" fontId="40" fillId="0" borderId="31" xfId="45" applyNumberFormat="1" applyFont="1" applyBorder="1" applyAlignment="1">
      <alignment vertical="center"/>
    </xf>
    <xf numFmtId="0" fontId="39" fillId="0" borderId="31" xfId="45" applyFont="1" applyBorder="1" applyAlignment="1">
      <alignment horizontal="right" vertical="center"/>
    </xf>
    <xf numFmtId="14" fontId="40" fillId="0" borderId="0" xfId="45" applyNumberFormat="1" applyFont="1" applyAlignment="1">
      <alignment horizontal="center" vertical="center"/>
    </xf>
    <xf numFmtId="0" fontId="40" fillId="0" borderId="31" xfId="45" applyFont="1" applyBorder="1" applyAlignment="1">
      <alignment horizontal="left" vertical="center"/>
    </xf>
    <xf numFmtId="4" fontId="39" fillId="0" borderId="31" xfId="45" applyNumberFormat="1" applyFont="1" applyBorder="1" applyAlignment="1">
      <alignment horizontal="right" vertical="center"/>
    </xf>
    <xf numFmtId="14" fontId="39" fillId="0" borderId="31" xfId="45" applyNumberFormat="1" applyFont="1" applyBorder="1" applyAlignment="1">
      <alignment horizontal="center" vertical="center"/>
    </xf>
    <xf numFmtId="4" fontId="39" fillId="0" borderId="31" xfId="45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0" fontId="43" fillId="0" borderId="0" xfId="0" applyFont="1"/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40" fillId="0" borderId="0" xfId="51" applyFont="1"/>
    <xf numFmtId="0" fontId="44" fillId="0" borderId="0" xfId="0" applyFont="1"/>
    <xf numFmtId="0" fontId="37" fillId="38" borderId="37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9" fillId="0" borderId="0" xfId="45" applyFont="1" applyAlignment="1">
      <alignment horizontal="left" vertical="center"/>
    </xf>
    <xf numFmtId="0" fontId="40" fillId="0" borderId="0" xfId="45" applyFont="1"/>
    <xf numFmtId="0" fontId="39" fillId="0" borderId="0" xfId="45" applyFont="1" applyAlignment="1">
      <alignment horizontal="right" vertical="center"/>
    </xf>
    <xf numFmtId="0" fontId="40" fillId="0" borderId="0" xfId="45" applyFont="1" applyAlignment="1">
      <alignment horizontal="left" vertical="center"/>
    </xf>
    <xf numFmtId="0" fontId="40" fillId="0" borderId="0" xfId="49" applyFont="1" applyAlignment="1">
      <alignment horizontal="center" vertical="center"/>
    </xf>
    <xf numFmtId="3" fontId="40" fillId="0" borderId="0" xfId="49" applyNumberFormat="1" applyFont="1" applyAlignment="1">
      <alignment horizontal="left" vertical="center"/>
    </xf>
    <xf numFmtId="0" fontId="40" fillId="0" borderId="0" xfId="49" applyFont="1" applyAlignment="1">
      <alignment horizontal="left" vertical="center"/>
    </xf>
    <xf numFmtId="14" fontId="40" fillId="0" borderId="31" xfId="45" applyNumberFormat="1" applyFont="1" applyBorder="1" applyAlignment="1">
      <alignment horizontal="left" vertical="center"/>
    </xf>
    <xf numFmtId="0" fontId="40" fillId="0" borderId="0" xfId="49" applyFont="1"/>
    <xf numFmtId="4" fontId="39" fillId="0" borderId="0" xfId="45" applyNumberFormat="1" applyFont="1" applyAlignment="1">
      <alignment horizontal="right" vertical="center"/>
    </xf>
    <xf numFmtId="4" fontId="40" fillId="0" borderId="0" xfId="45" applyNumberFormat="1" applyFont="1" applyAlignment="1">
      <alignment vertical="center"/>
    </xf>
    <xf numFmtId="4" fontId="39" fillId="0" borderId="0" xfId="45" applyNumberFormat="1" applyFont="1" applyAlignment="1">
      <alignment vertical="center"/>
    </xf>
    <xf numFmtId="0" fontId="40" fillId="0" borderId="0" xfId="45" applyFont="1" applyAlignment="1">
      <alignment vertical="center"/>
    </xf>
    <xf numFmtId="0" fontId="40" fillId="0" borderId="0" xfId="45" applyFont="1" applyAlignment="1">
      <alignment vertical="top"/>
    </xf>
    <xf numFmtId="4" fontId="40" fillId="0" borderId="0" xfId="45" applyNumberFormat="1" applyFont="1" applyAlignment="1">
      <alignment vertical="top"/>
    </xf>
    <xf numFmtId="164" fontId="39" fillId="0" borderId="0" xfId="45" applyNumberFormat="1" applyFont="1" applyAlignment="1">
      <alignment horizontal="center" vertical="center"/>
    </xf>
    <xf numFmtId="1" fontId="39" fillId="0" borderId="0" xfId="45" applyNumberFormat="1" applyFont="1" applyAlignment="1">
      <alignment horizontal="center" vertical="center"/>
    </xf>
    <xf numFmtId="43" fontId="39" fillId="0" borderId="0" xfId="47" applyNumberFormat="1" applyFont="1" applyAlignment="1">
      <alignment horizontal="center" vertical="center"/>
    </xf>
    <xf numFmtId="0" fontId="48" fillId="0" borderId="0" xfId="45" applyFont="1" applyAlignment="1">
      <alignment horizontal="left" vertical="center"/>
    </xf>
    <xf numFmtId="0" fontId="39" fillId="0" borderId="0" xfId="45" applyFont="1" applyAlignment="1">
      <alignment vertical="center"/>
    </xf>
    <xf numFmtId="0" fontId="40" fillId="0" borderId="0" xfId="45" applyFont="1" applyAlignment="1">
      <alignment horizontal="right"/>
    </xf>
    <xf numFmtId="0" fontId="40" fillId="0" borderId="0" xfId="45" applyFont="1" applyAlignment="1">
      <alignment horizontal="right" vertical="center"/>
    </xf>
    <xf numFmtId="0" fontId="39" fillId="0" borderId="0" xfId="45" applyFont="1" applyAlignment="1">
      <alignment horizontal="right"/>
    </xf>
    <xf numFmtId="0" fontId="40" fillId="0" borderId="0" xfId="45" applyFont="1" applyAlignment="1">
      <alignment horizontal="center"/>
    </xf>
    <xf numFmtId="0" fontId="37" fillId="38" borderId="0" xfId="45" applyFont="1" applyFill="1" applyAlignment="1">
      <alignment horizontal="right" vertical="center" wrapText="1"/>
    </xf>
    <xf numFmtId="0" fontId="37" fillId="38" borderId="0" xfId="45" applyFont="1" applyFill="1" applyAlignment="1">
      <alignment vertical="center" wrapText="1"/>
    </xf>
    <xf numFmtId="1" fontId="43" fillId="0" borderId="0" xfId="45" applyNumberFormat="1" applyFont="1" applyAlignment="1">
      <alignment horizontal="center" vertical="center"/>
    </xf>
    <xf numFmtId="0" fontId="43" fillId="0" borderId="0" xfId="45" applyFont="1" applyAlignment="1">
      <alignment horizontal="left" vertical="center"/>
    </xf>
    <xf numFmtId="0" fontId="43" fillId="0" borderId="0" xfId="45" applyFont="1" applyAlignment="1">
      <alignment vertical="center"/>
    </xf>
    <xf numFmtId="0" fontId="43" fillId="0" borderId="0" xfId="45" applyFont="1" applyAlignment="1">
      <alignment horizontal="right"/>
    </xf>
    <xf numFmtId="10" fontId="43" fillId="0" borderId="0" xfId="46" applyNumberFormat="1" applyFont="1" applyAlignment="1">
      <alignment horizontal="left" vertical="center"/>
    </xf>
    <xf numFmtId="4" fontId="43" fillId="0" borderId="0" xfId="45" applyNumberFormat="1" applyFont="1" applyAlignment="1">
      <alignment vertical="center"/>
    </xf>
    <xf numFmtId="43" fontId="43" fillId="0" borderId="0" xfId="47" applyNumberFormat="1" applyFont="1" applyAlignment="1">
      <alignment vertical="center"/>
    </xf>
    <xf numFmtId="1" fontId="38" fillId="36" borderId="0" xfId="45" applyNumberFormat="1" applyFont="1" applyFill="1" applyAlignment="1">
      <alignment horizontal="center" vertical="center"/>
    </xf>
    <xf numFmtId="0" fontId="38" fillId="36" borderId="0" xfId="45" applyFont="1" applyFill="1" applyAlignment="1">
      <alignment horizontal="left" vertical="center"/>
    </xf>
    <xf numFmtId="0" fontId="50" fillId="36" borderId="0" xfId="45" applyFont="1" applyFill="1" applyAlignment="1">
      <alignment horizontal="left" vertical="center"/>
    </xf>
    <xf numFmtId="0" fontId="38" fillId="36" borderId="0" xfId="45" applyFont="1" applyFill="1" applyAlignment="1">
      <alignment horizontal="right"/>
    </xf>
    <xf numFmtId="43" fontId="38" fillId="36" borderId="0" xfId="47" applyNumberFormat="1" applyFont="1" applyFill="1" applyAlignment="1">
      <alignment horizontal="center" vertical="center"/>
    </xf>
    <xf numFmtId="4" fontId="38" fillId="36" borderId="0" xfId="45" applyNumberFormat="1" applyFont="1" applyFill="1" applyAlignment="1">
      <alignment vertical="center"/>
    </xf>
    <xf numFmtId="4" fontId="38" fillId="36" borderId="0" xfId="46" applyNumberFormat="1" applyFont="1" applyFill="1" applyAlignment="1">
      <alignment vertical="center"/>
    </xf>
    <xf numFmtId="0" fontId="44" fillId="0" borderId="0" xfId="45" applyFont="1" applyAlignment="1">
      <alignment vertical="center"/>
    </xf>
    <xf numFmtId="0" fontId="45" fillId="0" borderId="0" xfId="45" applyFont="1" applyAlignment="1">
      <alignment horizontal="center" vertical="top"/>
    </xf>
    <xf numFmtId="0" fontId="46" fillId="35" borderId="0" xfId="45" applyFont="1" applyFill="1" applyAlignment="1">
      <alignment horizontal="center" vertical="center"/>
    </xf>
    <xf numFmtId="0" fontId="46" fillId="35" borderId="0" xfId="45" applyFont="1" applyFill="1" applyAlignment="1">
      <alignment horizontal="left" vertical="center"/>
    </xf>
    <xf numFmtId="0" fontId="46" fillId="35" borderId="0" xfId="45" applyFont="1" applyFill="1" applyAlignment="1">
      <alignment horizontal="right" vertical="center"/>
    </xf>
    <xf numFmtId="4" fontId="44" fillId="34" borderId="0" xfId="45" applyNumberFormat="1" applyFont="1" applyFill="1" applyAlignment="1">
      <alignment horizontal="center" vertical="center"/>
    </xf>
    <xf numFmtId="0" fontId="44" fillId="0" borderId="0" xfId="45" applyFont="1" applyAlignment="1">
      <alignment horizontal="center" vertical="center"/>
    </xf>
    <xf numFmtId="0" fontId="44" fillId="0" borderId="0" xfId="45" applyFont="1" applyAlignment="1">
      <alignment horizontal="justify" vertical="center" wrapText="1"/>
    </xf>
    <xf numFmtId="2" fontId="44" fillId="0" borderId="0" xfId="45" applyNumberFormat="1" applyFont="1" applyAlignment="1">
      <alignment horizontal="right" vertical="center"/>
    </xf>
    <xf numFmtId="4" fontId="44" fillId="0" borderId="0" xfId="45" applyNumberFormat="1" applyFont="1" applyAlignment="1">
      <alignment vertical="center"/>
    </xf>
    <xf numFmtId="3" fontId="44" fillId="0" borderId="0" xfId="45" applyNumberFormat="1" applyFont="1" applyAlignment="1">
      <alignment horizontal="center" vertical="center"/>
    </xf>
    <xf numFmtId="4" fontId="44" fillId="34" borderId="0" xfId="48" applyNumberFormat="1" applyFont="1" applyFill="1" applyAlignment="1">
      <alignment horizontal="right" vertical="center"/>
    </xf>
    <xf numFmtId="1" fontId="44" fillId="34" borderId="0" xfId="45" applyNumberFormat="1" applyFont="1" applyFill="1" applyAlignment="1">
      <alignment vertical="center"/>
    </xf>
    <xf numFmtId="1" fontId="44" fillId="34" borderId="0" xfId="45" applyNumberFormat="1" applyFont="1" applyFill="1" applyAlignment="1">
      <alignment horizontal="center" vertical="center"/>
    </xf>
    <xf numFmtId="4" fontId="44" fillId="34" borderId="0" xfId="45" applyNumberFormat="1" applyFont="1" applyFill="1" applyAlignment="1">
      <alignment horizontal="justify" vertical="center"/>
    </xf>
    <xf numFmtId="0" fontId="46" fillId="35" borderId="0" xfId="45" applyFont="1" applyFill="1" applyAlignment="1">
      <alignment vertical="center"/>
    </xf>
    <xf numFmtId="4" fontId="46" fillId="35" borderId="0" xfId="45" applyNumberFormat="1" applyFont="1" applyFill="1" applyAlignment="1">
      <alignment vertical="center"/>
    </xf>
    <xf numFmtId="4" fontId="44" fillId="34" borderId="0" xfId="45" applyNumberFormat="1" applyFont="1" applyFill="1" applyAlignment="1">
      <alignment vertical="center"/>
    </xf>
    <xf numFmtId="0" fontId="46" fillId="0" borderId="0" xfId="45" applyFont="1" applyAlignment="1">
      <alignment horizontal="justify" vertical="center" wrapText="1"/>
    </xf>
    <xf numFmtId="0" fontId="44" fillId="0" borderId="0" xfId="45" applyFont="1" applyAlignment="1">
      <alignment horizontal="right" vertical="center"/>
    </xf>
    <xf numFmtId="4" fontId="46" fillId="0" borderId="0" xfId="45" applyNumberFormat="1" applyFont="1" applyAlignment="1">
      <alignment vertical="center"/>
    </xf>
    <xf numFmtId="4" fontId="46" fillId="35" borderId="0" xfId="45" applyNumberFormat="1" applyFont="1" applyFill="1" applyAlignment="1">
      <alignment horizontal="right" vertical="center"/>
    </xf>
    <xf numFmtId="0" fontId="46" fillId="35" borderId="32" xfId="45" applyFont="1" applyFill="1" applyBorder="1" applyAlignment="1">
      <alignment horizontal="center" vertical="center"/>
    </xf>
    <xf numFmtId="0" fontId="46" fillId="35" borderId="32" xfId="45" applyFont="1" applyFill="1" applyBorder="1" applyAlignment="1">
      <alignment horizontal="left" vertical="center"/>
    </xf>
    <xf numFmtId="0" fontId="46" fillId="35" borderId="32" xfId="45" applyFont="1" applyFill="1" applyBorder="1" applyAlignment="1">
      <alignment horizontal="right" vertical="center"/>
    </xf>
    <xf numFmtId="0" fontId="36" fillId="40" borderId="37" xfId="45" applyFont="1" applyFill="1" applyBorder="1" applyAlignment="1">
      <alignment horizontal="center" vertical="center"/>
    </xf>
    <xf numFmtId="0" fontId="36" fillId="40" borderId="37" xfId="45" applyFont="1" applyFill="1" applyBorder="1" applyAlignment="1">
      <alignment vertical="center"/>
    </xf>
    <xf numFmtId="0" fontId="36" fillId="40" borderId="37" xfId="45" applyFont="1" applyFill="1" applyBorder="1" applyAlignment="1">
      <alignment horizontal="right" vertical="center"/>
    </xf>
    <xf numFmtId="0" fontId="40" fillId="0" borderId="0" xfId="45" applyFont="1" applyAlignment="1">
      <alignment horizontal="center" vertical="center"/>
    </xf>
    <xf numFmtId="4" fontId="44" fillId="0" borderId="0" xfId="45" applyNumberFormat="1" applyFont="1" applyAlignment="1">
      <alignment horizontal="center" vertical="center"/>
    </xf>
    <xf numFmtId="0" fontId="40" fillId="0" borderId="0" xfId="49" applyFont="1" applyAlignment="1">
      <alignment vertical="center"/>
    </xf>
    <xf numFmtId="10" fontId="51" fillId="34" borderId="0" xfId="46" applyNumberFormat="1" applyFont="1" applyFill="1" applyAlignment="1">
      <alignment horizontal="right" vertical="center"/>
    </xf>
    <xf numFmtId="10" fontId="51" fillId="0" borderId="0" xfId="46" applyNumberFormat="1" applyFont="1" applyAlignment="1">
      <alignment horizontal="right" vertical="center"/>
    </xf>
    <xf numFmtId="10" fontId="52" fillId="0" borderId="0" xfId="46" applyNumberFormat="1" applyFont="1" applyAlignment="1">
      <alignment horizontal="right" vertical="center"/>
    </xf>
    <xf numFmtId="0" fontId="40" fillId="0" borderId="0" xfId="49" applyFont="1" applyAlignment="1">
      <alignment horizontal="justify"/>
    </xf>
    <xf numFmtId="0" fontId="54" fillId="0" borderId="0" xfId="0" applyFont="1"/>
    <xf numFmtId="0" fontId="54" fillId="0" borderId="0" xfId="0" applyFont="1" applyAlignment="1">
      <alignment vertical="center"/>
    </xf>
    <xf numFmtId="14" fontId="40" fillId="0" borderId="0" xfId="45" applyNumberFormat="1" applyFont="1" applyAlignment="1">
      <alignment vertical="center"/>
    </xf>
    <xf numFmtId="4" fontId="40" fillId="0" borderId="0" xfId="0" applyNumberFormat="1" applyFont="1" applyAlignment="1">
      <alignment vertical="center"/>
    </xf>
    <xf numFmtId="0" fontId="43" fillId="34" borderId="39" xfId="51" applyFont="1" applyFill="1" applyBorder="1" applyAlignment="1">
      <alignment vertical="center"/>
    </xf>
    <xf numFmtId="0" fontId="43" fillId="34" borderId="39" xfId="51" applyFont="1" applyFill="1" applyBorder="1" applyAlignment="1">
      <alignment horizontal="center" vertical="center"/>
    </xf>
    <xf numFmtId="0" fontId="43" fillId="34" borderId="39" xfId="51" applyFont="1" applyFill="1" applyBorder="1" applyAlignment="1">
      <alignment horizontal="left" vertical="center"/>
    </xf>
    <xf numFmtId="0" fontId="43" fillId="34" borderId="39" xfId="45" applyFont="1" applyFill="1" applyBorder="1" applyAlignment="1">
      <alignment horizontal="left" vertical="center"/>
    </xf>
    <xf numFmtId="0" fontId="43" fillId="34" borderId="39" xfId="45" applyFont="1" applyFill="1" applyBorder="1" applyAlignment="1">
      <alignment horizontal="right"/>
    </xf>
    <xf numFmtId="43" fontId="43" fillId="34" borderId="39" xfId="47" applyNumberFormat="1" applyFont="1" applyFill="1" applyBorder="1" applyAlignment="1">
      <alignment horizontal="left" vertical="center"/>
    </xf>
    <xf numFmtId="4" fontId="43" fillId="34" borderId="39" xfId="45" applyNumberFormat="1" applyFont="1" applyFill="1" applyBorder="1" applyAlignment="1">
      <alignment vertical="center"/>
    </xf>
    <xf numFmtId="10" fontId="43" fillId="34" borderId="39" xfId="46" applyNumberFormat="1" applyFont="1" applyFill="1" applyBorder="1" applyAlignment="1">
      <alignment vertical="center"/>
    </xf>
    <xf numFmtId="0" fontId="43" fillId="34" borderId="39" xfId="45" applyFont="1" applyFill="1" applyBorder="1" applyAlignment="1">
      <alignment vertical="center"/>
    </xf>
    <xf numFmtId="0" fontId="49" fillId="34" borderId="39" xfId="45" applyFont="1" applyFill="1" applyBorder="1" applyAlignment="1">
      <alignment horizontal="left" vertical="center"/>
    </xf>
    <xf numFmtId="43" fontId="43" fillId="34" borderId="39" xfId="47" applyNumberFormat="1" applyFont="1" applyFill="1" applyBorder="1" applyAlignment="1">
      <alignment vertical="center"/>
    </xf>
    <xf numFmtId="4" fontId="44" fillId="34" borderId="40" xfId="45" applyNumberFormat="1" applyFont="1" applyFill="1" applyBorder="1" applyAlignment="1">
      <alignment horizontal="center" vertical="center"/>
    </xf>
    <xf numFmtId="0" fontId="44" fillId="34" borderId="40" xfId="45" applyFont="1" applyFill="1" applyBorder="1" applyAlignment="1">
      <alignment horizontal="justify" vertical="center" wrapText="1"/>
    </xf>
    <xf numFmtId="4" fontId="44" fillId="34" borderId="40" xfId="45" applyNumberFormat="1" applyFont="1" applyFill="1" applyBorder="1" applyAlignment="1">
      <alignment horizontal="right" vertical="center"/>
    </xf>
    <xf numFmtId="4" fontId="44" fillId="34" borderId="39" xfId="45" applyNumberFormat="1" applyFont="1" applyFill="1" applyBorder="1" applyAlignment="1">
      <alignment horizontal="center" vertical="center"/>
    </xf>
    <xf numFmtId="4" fontId="44" fillId="34" borderId="39" xfId="45" applyNumberFormat="1" applyFont="1" applyFill="1" applyBorder="1" applyAlignment="1">
      <alignment horizontal="right" vertical="center"/>
    </xf>
    <xf numFmtId="1" fontId="44" fillId="34" borderId="40" xfId="45" applyNumberFormat="1" applyFont="1" applyFill="1" applyBorder="1" applyAlignment="1">
      <alignment horizontal="center" vertical="center" wrapText="1"/>
    </xf>
    <xf numFmtId="4" fontId="44" fillId="34" borderId="40" xfId="45" applyNumberFormat="1" applyFont="1" applyFill="1" applyBorder="1" applyAlignment="1">
      <alignment horizontal="left" vertical="center" wrapText="1"/>
    </xf>
    <xf numFmtId="4" fontId="44" fillId="34" borderId="40" xfId="48" applyNumberFormat="1" applyFont="1" applyFill="1" applyBorder="1" applyAlignment="1">
      <alignment horizontal="right" vertical="center"/>
    </xf>
    <xf numFmtId="10" fontId="51" fillId="34" borderId="40" xfId="46" applyNumberFormat="1" applyFont="1" applyFill="1" applyBorder="1" applyAlignment="1">
      <alignment horizontal="right" vertical="center"/>
    </xf>
    <xf numFmtId="10" fontId="51" fillId="34" borderId="39" xfId="46" applyNumberFormat="1" applyFont="1" applyFill="1" applyBorder="1" applyAlignment="1">
      <alignment horizontal="right" vertical="center"/>
    </xf>
    <xf numFmtId="0" fontId="40" fillId="34" borderId="40" xfId="49" applyFont="1" applyFill="1" applyBorder="1" applyAlignment="1">
      <alignment horizontal="center" vertical="center"/>
    </xf>
    <xf numFmtId="0" fontId="54" fillId="43" borderId="41" xfId="0" applyFont="1" applyFill="1" applyBorder="1"/>
    <xf numFmtId="0" fontId="54" fillId="41" borderId="41" xfId="0" applyFont="1" applyFill="1" applyBorder="1"/>
    <xf numFmtId="4" fontId="39" fillId="0" borderId="0" xfId="46" applyNumberFormat="1" applyFont="1" applyAlignment="1">
      <alignment horizontal="right" vertical="center"/>
    </xf>
    <xf numFmtId="0" fontId="40" fillId="0" borderId="31" xfId="45" applyFont="1" applyBorder="1" applyAlignment="1">
      <alignment wrapText="1"/>
    </xf>
    <xf numFmtId="0" fontId="56" fillId="34" borderId="40" xfId="0" applyFont="1" applyFill="1" applyBorder="1" applyAlignment="1">
      <alignment horizontal="left" vertical="center" wrapText="1"/>
    </xf>
    <xf numFmtId="0" fontId="40" fillId="34" borderId="41" xfId="0" applyFont="1" applyFill="1" applyBorder="1" applyAlignment="1">
      <alignment horizontal="left" vertical="center" wrapText="1"/>
    </xf>
    <xf numFmtId="0" fontId="40" fillId="34" borderId="40" xfId="0" applyFont="1" applyFill="1" applyBorder="1" applyAlignment="1">
      <alignment horizontal="left" wrapText="1"/>
    </xf>
    <xf numFmtId="0" fontId="40" fillId="34" borderId="0" xfId="0" applyFont="1" applyFill="1" applyAlignment="1">
      <alignment horizontal="left" wrapText="1"/>
    </xf>
    <xf numFmtId="0" fontId="38" fillId="35" borderId="32" xfId="0" applyFont="1" applyFill="1" applyBorder="1" applyAlignment="1">
      <alignment horizontal="center" vertical="center" wrapText="1"/>
    </xf>
    <xf numFmtId="0" fontId="59" fillId="0" borderId="0" xfId="0" applyFont="1"/>
    <xf numFmtId="0" fontId="40" fillId="34" borderId="41" xfId="0" applyFont="1" applyFill="1" applyBorder="1" applyAlignment="1">
      <alignment horizontal="center" vertical="center" wrapText="1"/>
    </xf>
    <xf numFmtId="0" fontId="40" fillId="34" borderId="41" xfId="0" applyFont="1" applyFill="1" applyBorder="1" applyAlignment="1">
      <alignment horizontal="left" vertical="center"/>
    </xf>
    <xf numFmtId="4" fontId="40" fillId="34" borderId="41" xfId="0" applyNumberFormat="1" applyFont="1" applyFill="1" applyBorder="1" applyAlignment="1">
      <alignment horizontal="center" vertical="center" wrapText="1"/>
    </xf>
    <xf numFmtId="10" fontId="40" fillId="34" borderId="41" xfId="34" applyNumberFormat="1" applyFont="1" applyFill="1" applyBorder="1" applyAlignment="1">
      <alignment horizontal="center" vertical="center" wrapText="1"/>
    </xf>
    <xf numFmtId="10" fontId="58" fillId="44" borderId="41" xfId="34" applyNumberFormat="1" applyFont="1" applyFill="1" applyBorder="1" applyAlignment="1">
      <alignment horizontal="center" vertical="center" wrapText="1"/>
    </xf>
    <xf numFmtId="10" fontId="58" fillId="34" borderId="41" xfId="34" applyNumberFormat="1" applyFont="1" applyFill="1" applyBorder="1" applyAlignment="1">
      <alignment horizontal="center" vertical="center" wrapText="1"/>
    </xf>
    <xf numFmtId="4" fontId="40" fillId="34" borderId="41" xfId="34" applyNumberFormat="1" applyFont="1" applyFill="1" applyBorder="1" applyAlignment="1">
      <alignment horizontal="center" vertical="center" wrapText="1"/>
    </xf>
    <xf numFmtId="0" fontId="54" fillId="43" borderId="41" xfId="0" applyFont="1" applyFill="1" applyBorder="1" applyAlignment="1">
      <alignment horizontal="center" vertical="center" wrapText="1"/>
    </xf>
    <xf numFmtId="4" fontId="59" fillId="0" borderId="0" xfId="34" applyNumberFormat="1" applyFont="1"/>
    <xf numFmtId="0" fontId="55" fillId="42" borderId="41" xfId="0" applyFont="1" applyFill="1" applyBorder="1" applyAlignment="1">
      <alignment horizontal="center" vertical="center" wrapText="1"/>
    </xf>
    <xf numFmtId="10" fontId="58" fillId="44" borderId="0" xfId="34" applyNumberFormat="1" applyFont="1" applyFill="1" applyAlignment="1">
      <alignment horizontal="center" vertical="center" wrapText="1"/>
    </xf>
    <xf numFmtId="0" fontId="57" fillId="43" borderId="0" xfId="0" applyFont="1" applyFill="1" applyAlignment="1">
      <alignment horizontal="center" vertical="center" wrapText="1"/>
    </xf>
    <xf numFmtId="0" fontId="57" fillId="45" borderId="0" xfId="0" applyFont="1" applyFill="1" applyAlignment="1">
      <alignment horizontal="center" vertical="center" wrapText="1"/>
    </xf>
    <xf numFmtId="0" fontId="54" fillId="41" borderId="0" xfId="0" applyFont="1" applyFill="1" applyAlignment="1">
      <alignment vertical="center"/>
    </xf>
    <xf numFmtId="0" fontId="55" fillId="42" borderId="0" xfId="0" applyFont="1" applyFill="1" applyAlignment="1">
      <alignment horizontal="center" vertical="center" wrapText="1"/>
    </xf>
    <xf numFmtId="0" fontId="38" fillId="35" borderId="42" xfId="51" applyFont="1" applyFill="1" applyBorder="1" applyAlignment="1">
      <alignment vertical="center"/>
    </xf>
    <xf numFmtId="0" fontId="38" fillId="35" borderId="38" xfId="51" applyFont="1" applyFill="1" applyBorder="1" applyAlignment="1">
      <alignment vertical="center"/>
    </xf>
    <xf numFmtId="0" fontId="43" fillId="46" borderId="31" xfId="0" applyFont="1" applyFill="1" applyBorder="1"/>
    <xf numFmtId="0" fontId="43" fillId="44" borderId="31" xfId="0" applyFont="1" applyFill="1" applyBorder="1"/>
    <xf numFmtId="3" fontId="43" fillId="47" borderId="35" xfId="51" applyNumberFormat="1" applyFont="1" applyFill="1" applyBorder="1" applyAlignment="1">
      <alignment horizontal="center" vertical="center"/>
    </xf>
    <xf numFmtId="4" fontId="43" fillId="47" borderId="35" xfId="51" applyNumberFormat="1" applyFont="1" applyFill="1" applyBorder="1" applyAlignment="1">
      <alignment horizontal="center" vertical="center"/>
    </xf>
    <xf numFmtId="3" fontId="43" fillId="47" borderId="43" xfId="51" applyNumberFormat="1" applyFont="1" applyFill="1" applyBorder="1" applyAlignment="1">
      <alignment horizontal="center" vertical="center"/>
    </xf>
    <xf numFmtId="14" fontId="40" fillId="0" borderId="36" xfId="45" applyNumberFormat="1" applyFont="1" applyBorder="1" applyAlignment="1">
      <alignment horizontal="left" vertical="center"/>
    </xf>
    <xf numFmtId="9" fontId="59" fillId="0" borderId="0" xfId="34" applyFont="1"/>
    <xf numFmtId="4" fontId="44" fillId="34" borderId="40" xfId="48" applyNumberFormat="1" applyFont="1" applyFill="1" applyBorder="1" applyAlignment="1">
      <alignment horizontal="center" vertical="center"/>
    </xf>
    <xf numFmtId="166" fontId="43" fillId="47" borderId="35" xfId="51" applyNumberFormat="1" applyFont="1" applyFill="1" applyBorder="1" applyAlignment="1">
      <alignment horizontal="center" vertical="center"/>
    </xf>
    <xf numFmtId="3" fontId="38" fillId="47" borderId="35" xfId="51" applyNumberFormat="1" applyFont="1" applyFill="1" applyBorder="1" applyAlignment="1">
      <alignment horizontal="center" vertical="center"/>
    </xf>
    <xf numFmtId="3" fontId="43" fillId="0" borderId="0" xfId="0" applyNumberFormat="1" applyFont="1"/>
    <xf numFmtId="168" fontId="43" fillId="47" borderId="43" xfId="51" applyNumberFormat="1" applyFont="1" applyFill="1" applyBorder="1" applyAlignment="1">
      <alignment horizontal="center" vertical="center"/>
    </xf>
    <xf numFmtId="0" fontId="60" fillId="37" borderId="0" xfId="0" applyFont="1" applyFill="1" applyAlignment="1">
      <alignment horizontal="center" vertical="center"/>
    </xf>
    <xf numFmtId="169" fontId="43" fillId="47" borderId="35" xfId="34" applyNumberFormat="1" applyFont="1" applyFill="1" applyBorder="1" applyAlignment="1">
      <alignment horizontal="center" vertical="center"/>
    </xf>
    <xf numFmtId="0" fontId="43" fillId="34" borderId="41" xfId="51" applyFont="1" applyFill="1" applyBorder="1" applyAlignment="1">
      <alignment vertical="center"/>
    </xf>
    <xf numFmtId="0" fontId="44" fillId="34" borderId="0" xfId="45" applyFont="1" applyFill="1" applyAlignment="1">
      <alignment horizontal="center" vertical="top"/>
    </xf>
    <xf numFmtId="4" fontId="44" fillId="34" borderId="0" xfId="45" applyNumberFormat="1" applyFont="1" applyFill="1" applyAlignment="1">
      <alignment vertical="center" wrapText="1"/>
    </xf>
    <xf numFmtId="4" fontId="44" fillId="34" borderId="0" xfId="48" applyNumberFormat="1" applyFont="1" applyFill="1" applyBorder="1" applyAlignment="1">
      <alignment horizontal="right" vertical="center"/>
    </xf>
    <xf numFmtId="4" fontId="44" fillId="34" borderId="0" xfId="45" applyNumberFormat="1" applyFont="1" applyFill="1" applyAlignment="1">
      <alignment horizontal="right" vertical="center"/>
    </xf>
    <xf numFmtId="10" fontId="51" fillId="34" borderId="0" xfId="46" applyNumberFormat="1" applyFont="1" applyFill="1" applyBorder="1" applyAlignment="1">
      <alignment horizontal="right" vertical="center"/>
    </xf>
    <xf numFmtId="0" fontId="45" fillId="0" borderId="0" xfId="45" applyFont="1" applyAlignment="1">
      <alignment horizontal="left" vertical="top" wrapText="1"/>
    </xf>
    <xf numFmtId="0" fontId="62" fillId="0" borderId="0" xfId="0" applyFont="1" applyAlignment="1">
      <alignment vertical="top"/>
    </xf>
    <xf numFmtId="49" fontId="62" fillId="34" borderId="0" xfId="0" applyNumberFormat="1" applyFont="1" applyFill="1" applyAlignment="1">
      <alignment horizontal="center" vertical="top"/>
    </xf>
    <xf numFmtId="0" fontId="62" fillId="0" borderId="0" xfId="0" applyFont="1" applyAlignment="1">
      <alignment vertical="top" wrapText="1"/>
    </xf>
    <xf numFmtId="10" fontId="61" fillId="35" borderId="0" xfId="46" applyNumberFormat="1" applyFont="1" applyFill="1" applyAlignment="1">
      <alignment horizontal="right" vertical="top"/>
    </xf>
    <xf numFmtId="0" fontId="62" fillId="0" borderId="0" xfId="0" applyFont="1" applyAlignment="1">
      <alignment horizontal="center" vertical="top"/>
    </xf>
    <xf numFmtId="0" fontId="62" fillId="34" borderId="0" xfId="0" applyFont="1" applyFill="1" applyAlignment="1">
      <alignment vertical="top"/>
    </xf>
    <xf numFmtId="0" fontId="36" fillId="48" borderId="37" xfId="45" applyFont="1" applyFill="1" applyBorder="1" applyAlignment="1">
      <alignment horizontal="center" vertical="center"/>
    </xf>
    <xf numFmtId="0" fontId="36" fillId="48" borderId="37" xfId="45" applyFont="1" applyFill="1" applyBorder="1" applyAlignment="1">
      <alignment horizontal="center" vertical="center" wrapText="1"/>
    </xf>
    <xf numFmtId="4" fontId="36" fillId="48" borderId="37" xfId="45" applyNumberFormat="1" applyFont="1" applyFill="1" applyBorder="1" applyAlignment="1">
      <alignment horizontal="center" vertical="center"/>
    </xf>
    <xf numFmtId="4" fontId="36" fillId="48" borderId="37" xfId="45" applyNumberFormat="1" applyFont="1" applyFill="1" applyBorder="1" applyAlignment="1">
      <alignment horizontal="center" vertical="center" wrapText="1"/>
    </xf>
    <xf numFmtId="0" fontId="67" fillId="40" borderId="35" xfId="45" applyFont="1" applyFill="1" applyBorder="1" applyAlignment="1">
      <alignment horizontal="center" vertical="center"/>
    </xf>
    <xf numFmtId="0" fontId="67" fillId="40" borderId="35" xfId="45" applyFont="1" applyFill="1" applyBorder="1" applyAlignment="1">
      <alignment vertical="center"/>
    </xf>
    <xf numFmtId="0" fontId="67" fillId="40" borderId="35" xfId="45" applyFont="1" applyFill="1" applyBorder="1" applyAlignment="1">
      <alignment horizontal="right" vertical="center"/>
    </xf>
    <xf numFmtId="4" fontId="67" fillId="40" borderId="35" xfId="45" applyNumberFormat="1" applyFont="1" applyFill="1" applyBorder="1" applyAlignment="1">
      <alignment vertical="center"/>
    </xf>
    <xf numFmtId="10" fontId="67" fillId="40" borderId="35" xfId="46" applyNumberFormat="1" applyFont="1" applyFill="1" applyBorder="1" applyAlignment="1">
      <alignment horizontal="right" vertical="center"/>
    </xf>
    <xf numFmtId="0" fontId="67" fillId="35" borderId="0" xfId="45" applyFont="1" applyFill="1" applyAlignment="1">
      <alignment horizontal="center" vertical="center"/>
    </xf>
    <xf numFmtId="0" fontId="67" fillId="35" borderId="0" xfId="45" applyFont="1" applyFill="1" applyAlignment="1">
      <alignment horizontal="left" vertical="center"/>
    </xf>
    <xf numFmtId="0" fontId="67" fillId="35" borderId="0" xfId="45" applyFont="1" applyFill="1" applyAlignment="1">
      <alignment horizontal="right" vertical="center"/>
    </xf>
    <xf numFmtId="4" fontId="67" fillId="35" borderId="0" xfId="45" applyNumberFormat="1" applyFont="1" applyFill="1" applyAlignment="1">
      <alignment horizontal="right" vertical="center"/>
    </xf>
    <xf numFmtId="0" fontId="67" fillId="40" borderId="37" xfId="45" applyFont="1" applyFill="1" applyBorder="1" applyAlignment="1">
      <alignment horizontal="center" vertical="center"/>
    </xf>
    <xf numFmtId="1" fontId="44" fillId="34" borderId="0" xfId="45" applyNumberFormat="1" applyFont="1" applyFill="1" applyAlignment="1">
      <alignment horizontal="center" vertical="center" wrapText="1"/>
    </xf>
    <xf numFmtId="4" fontId="53" fillId="48" borderId="0" xfId="45" applyNumberFormat="1" applyFont="1" applyFill="1" applyAlignment="1">
      <alignment horizontal="right" vertical="center"/>
    </xf>
    <xf numFmtId="0" fontId="40" fillId="48" borderId="0" xfId="45" applyFont="1" applyFill="1" applyAlignment="1">
      <alignment horizontal="center"/>
    </xf>
    <xf numFmtId="4" fontId="53" fillId="48" borderId="0" xfId="45" applyNumberFormat="1" applyFont="1" applyFill="1" applyAlignment="1">
      <alignment vertical="center"/>
    </xf>
    <xf numFmtId="4" fontId="67" fillId="40" borderId="37" xfId="45" applyNumberFormat="1" applyFont="1" applyFill="1" applyBorder="1" applyAlignment="1">
      <alignment horizontal="right" vertical="center"/>
    </xf>
    <xf numFmtId="4" fontId="46" fillId="35" borderId="32" xfId="45" applyNumberFormat="1" applyFont="1" applyFill="1" applyBorder="1" applyAlignment="1">
      <alignment horizontal="right" vertical="center"/>
    </xf>
    <xf numFmtId="10" fontId="53" fillId="48" borderId="0" xfId="34" applyNumberFormat="1" applyFont="1" applyFill="1" applyAlignment="1">
      <alignment horizontal="right" vertical="center"/>
    </xf>
    <xf numFmtId="10" fontId="46" fillId="35" borderId="0" xfId="34" applyNumberFormat="1" applyFont="1" applyFill="1" applyAlignment="1">
      <alignment horizontal="right" vertical="center"/>
    </xf>
    <xf numFmtId="10" fontId="46" fillId="35" borderId="0" xfId="34" applyNumberFormat="1" applyFont="1" applyFill="1" applyAlignment="1">
      <alignment vertical="center"/>
    </xf>
    <xf numFmtId="10" fontId="46" fillId="35" borderId="32" xfId="34" applyNumberFormat="1" applyFont="1" applyFill="1" applyBorder="1" applyAlignment="1">
      <alignment horizontal="right" vertical="center"/>
    </xf>
    <xf numFmtId="10" fontId="67" fillId="35" borderId="0" xfId="34" applyNumberFormat="1" applyFont="1" applyFill="1" applyAlignment="1">
      <alignment horizontal="right" vertical="center"/>
    </xf>
    <xf numFmtId="0" fontId="44" fillId="0" borderId="0" xfId="45" applyFont="1"/>
    <xf numFmtId="0" fontId="44" fillId="0" borderId="0" xfId="45" applyFont="1" applyAlignment="1">
      <alignment horizontal="right"/>
    </xf>
    <xf numFmtId="4" fontId="44" fillId="0" borderId="0" xfId="45" applyNumberFormat="1" applyFont="1" applyAlignment="1">
      <alignment horizontal="right" vertical="center"/>
    </xf>
    <xf numFmtId="4" fontId="55" fillId="48" borderId="0" xfId="0" applyNumberFormat="1" applyFont="1" applyFill="1" applyAlignment="1">
      <alignment horizontal="center" vertical="center" wrapText="1"/>
    </xf>
    <xf numFmtId="10" fontId="55" fillId="48" borderId="0" xfId="34" applyNumberFormat="1" applyFont="1" applyFill="1" applyAlignment="1">
      <alignment horizontal="center" vertical="center" wrapText="1"/>
    </xf>
    <xf numFmtId="0" fontId="57" fillId="40" borderId="31" xfId="0" applyFont="1" applyFill="1" applyBorder="1" applyAlignment="1">
      <alignment horizontal="center" vertical="center" wrapText="1"/>
    </xf>
    <xf numFmtId="4" fontId="56" fillId="34" borderId="40" xfId="0" applyNumberFormat="1" applyFont="1" applyFill="1" applyBorder="1" applyAlignment="1">
      <alignment horizontal="right" vertical="center" wrapText="1"/>
    </xf>
    <xf numFmtId="1" fontId="44" fillId="34" borderId="40" xfId="45" applyNumberFormat="1" applyFont="1" applyFill="1" applyBorder="1" applyAlignment="1">
      <alignment horizontal="left" vertical="center" wrapText="1"/>
    </xf>
    <xf numFmtId="49" fontId="44" fillId="34" borderId="40" xfId="45" applyNumberFormat="1" applyFont="1" applyFill="1" applyBorder="1" applyAlignment="1">
      <alignment horizontal="center" vertical="center"/>
    </xf>
    <xf numFmtId="169" fontId="40" fillId="34" borderId="40" xfId="0" applyNumberFormat="1" applyFont="1" applyFill="1" applyBorder="1" applyAlignment="1">
      <alignment horizontal="center" vertical="center" wrapText="1"/>
    </xf>
    <xf numFmtId="169" fontId="40" fillId="34" borderId="0" xfId="0" applyNumberFormat="1" applyFont="1" applyFill="1" applyAlignment="1">
      <alignment horizontal="center" vertical="center" wrapText="1"/>
    </xf>
    <xf numFmtId="2" fontId="44" fillId="34" borderId="40" xfId="45" applyNumberFormat="1" applyFont="1" applyFill="1" applyBorder="1" applyAlignment="1">
      <alignment horizontal="center" vertical="center" wrapText="1"/>
    </xf>
    <xf numFmtId="0" fontId="57" fillId="40" borderId="44" xfId="0" applyFont="1" applyFill="1" applyBorder="1" applyAlignment="1">
      <alignment horizontal="center" vertical="center" wrapText="1"/>
    </xf>
    <xf numFmtId="0" fontId="40" fillId="0" borderId="0" xfId="49" applyFont="1" applyAlignment="1">
      <alignment horizontal="center" vertical="center" wrapText="1"/>
    </xf>
    <xf numFmtId="0" fontId="46" fillId="0" borderId="0" xfId="45" applyFont="1"/>
    <xf numFmtId="0" fontId="57" fillId="49" borderId="0" xfId="0" applyFont="1" applyFill="1" applyAlignment="1">
      <alignment horizontal="center" vertical="center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justify" vertical="top"/>
    </xf>
    <xf numFmtId="0" fontId="5" fillId="0" borderId="0" xfId="0" applyFont="1" applyAlignment="1">
      <alignment vertical="center"/>
    </xf>
    <xf numFmtId="2" fontId="44" fillId="34" borderId="40" xfId="45" applyNumberFormat="1" applyFont="1" applyFill="1" applyBorder="1" applyAlignment="1">
      <alignment horizontal="right" vertical="center" wrapText="1"/>
    </xf>
    <xf numFmtId="1" fontId="44" fillId="34" borderId="40" xfId="45" applyNumberFormat="1" applyFont="1" applyFill="1" applyBorder="1" applyAlignment="1">
      <alignment horizontal="justify" vertical="center" wrapText="1"/>
    </xf>
    <xf numFmtId="1" fontId="44" fillId="34" borderId="40" xfId="45" applyNumberFormat="1" applyFont="1" applyFill="1" applyBorder="1" applyAlignment="1">
      <alignment horizontal="left" vertical="center"/>
    </xf>
    <xf numFmtId="1" fontId="44" fillId="34" borderId="40" xfId="45" applyNumberFormat="1" applyFont="1" applyFill="1" applyBorder="1" applyAlignment="1">
      <alignment horizontal="justify" vertical="center"/>
    </xf>
    <xf numFmtId="0" fontId="55" fillId="48" borderId="0" xfId="49" applyFont="1" applyFill="1" applyAlignment="1">
      <alignment horizontal="center" vertical="center"/>
    </xf>
    <xf numFmtId="0" fontId="55" fillId="48" borderId="0" xfId="49" applyFont="1" applyFill="1" applyAlignment="1">
      <alignment horizontal="center" vertical="center" wrapText="1"/>
    </xf>
    <xf numFmtId="0" fontId="55" fillId="48" borderId="0" xfId="49" applyFont="1" applyFill="1" applyAlignment="1">
      <alignment horizontal="right" vertical="center"/>
    </xf>
    <xf numFmtId="10" fontId="55" fillId="48" borderId="0" xfId="49" applyNumberFormat="1" applyFont="1" applyFill="1" applyAlignment="1">
      <alignment horizontal="center" vertical="center"/>
    </xf>
    <xf numFmtId="4" fontId="55" fillId="48" borderId="0" xfId="49" applyNumberFormat="1" applyFont="1" applyFill="1" applyAlignment="1">
      <alignment horizontal="right" vertical="center"/>
    </xf>
    <xf numFmtId="1" fontId="40" fillId="0" borderId="0" xfId="45" applyNumberFormat="1" applyFont="1" applyAlignment="1">
      <alignment vertical="top"/>
    </xf>
    <xf numFmtId="164" fontId="40" fillId="0" borderId="0" xfId="36" applyFont="1" applyAlignment="1">
      <alignment vertical="top"/>
    </xf>
    <xf numFmtId="43" fontId="40" fillId="0" borderId="0" xfId="45" applyNumberFormat="1" applyFont="1" applyAlignment="1">
      <alignment vertical="top"/>
    </xf>
    <xf numFmtId="2" fontId="40" fillId="0" borderId="0" xfId="45" applyNumberFormat="1" applyFont="1" applyAlignment="1">
      <alignment vertical="center"/>
    </xf>
    <xf numFmtId="2" fontId="44" fillId="0" borderId="0" xfId="45" applyNumberFormat="1" applyFont="1" applyAlignment="1">
      <alignment horizontal="center" vertical="center"/>
    </xf>
    <xf numFmtId="2" fontId="36" fillId="48" borderId="37" xfId="45" applyNumberFormat="1" applyFont="1" applyFill="1" applyBorder="1" applyAlignment="1">
      <alignment horizontal="center" vertical="center"/>
    </xf>
    <xf numFmtId="2" fontId="67" fillId="40" borderId="35" xfId="45" applyNumberFormat="1" applyFont="1" applyFill="1" applyBorder="1" applyAlignment="1">
      <alignment vertical="center"/>
    </xf>
    <xf numFmtId="2" fontId="46" fillId="35" borderId="32" xfId="45" applyNumberFormat="1" applyFont="1" applyFill="1" applyBorder="1" applyAlignment="1">
      <alignment horizontal="left" vertical="center"/>
    </xf>
    <xf numFmtId="2" fontId="44" fillId="34" borderId="0" xfId="48" applyNumberFormat="1" applyFont="1" applyFill="1" applyAlignment="1">
      <alignment horizontal="center" vertical="center"/>
    </xf>
    <xf numFmtId="2" fontId="67" fillId="35" borderId="0" xfId="45" applyNumberFormat="1" applyFont="1" applyFill="1" applyAlignment="1">
      <alignment horizontal="left" vertical="center"/>
    </xf>
    <xf numFmtId="2" fontId="36" fillId="40" borderId="37" xfId="45" applyNumberFormat="1" applyFont="1" applyFill="1" applyBorder="1" applyAlignment="1">
      <alignment vertical="center"/>
    </xf>
    <xf numFmtId="2" fontId="46" fillId="35" borderId="0" xfId="45" applyNumberFormat="1" applyFont="1" applyFill="1" applyAlignment="1">
      <alignment horizontal="left" vertical="center"/>
    </xf>
    <xf numFmtId="2" fontId="44" fillId="34" borderId="0" xfId="48" applyNumberFormat="1" applyFont="1" applyFill="1" applyBorder="1" applyAlignment="1">
      <alignment horizontal="center" vertical="center"/>
    </xf>
    <xf numFmtId="2" fontId="44" fillId="0" borderId="0" xfId="45" applyNumberFormat="1" applyFont="1" applyAlignment="1">
      <alignment vertical="center"/>
    </xf>
    <xf numFmtId="2" fontId="53" fillId="48" borderId="0" xfId="45" applyNumberFormat="1" applyFont="1" applyFill="1" applyAlignment="1">
      <alignment vertical="center"/>
    </xf>
    <xf numFmtId="2" fontId="39" fillId="0" borderId="0" xfId="45" applyNumberFormat="1" applyFont="1" applyAlignment="1">
      <alignment horizontal="center" vertical="center"/>
    </xf>
    <xf numFmtId="2" fontId="40" fillId="0" borderId="0" xfId="45" applyNumberFormat="1" applyFont="1"/>
    <xf numFmtId="0" fontId="40" fillId="44" borderId="0" xfId="0" applyFont="1" applyFill="1" applyAlignment="1">
      <alignment horizontal="center"/>
    </xf>
    <xf numFmtId="0" fontId="40" fillId="39" borderId="32" xfId="5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4" fontId="5" fillId="0" borderId="0" xfId="0" applyNumberFormat="1" applyFont="1"/>
    <xf numFmtId="2" fontId="5" fillId="0" borderId="0" xfId="0" applyNumberFormat="1" applyFont="1"/>
    <xf numFmtId="0" fontId="5" fillId="0" borderId="2" xfId="0" applyFont="1" applyBorder="1" applyAlignment="1">
      <alignment horizontal="justify" vertical="center"/>
    </xf>
    <xf numFmtId="1" fontId="5" fillId="0" borderId="2" xfId="0" applyNumberFormat="1" applyFont="1" applyBorder="1" applyAlignment="1">
      <alignment horizontal="center"/>
    </xf>
    <xf numFmtId="164" fontId="5" fillId="0" borderId="2" xfId="36" applyFont="1" applyBorder="1" applyAlignment="1">
      <alignment horizontal="center"/>
    </xf>
    <xf numFmtId="165" fontId="5" fillId="0" borderId="2" xfId="36" applyNumberFormat="1" applyFont="1" applyBorder="1"/>
    <xf numFmtId="164" fontId="5" fillId="0" borderId="2" xfId="36" applyFont="1" applyBorder="1"/>
    <xf numFmtId="164" fontId="5" fillId="0" borderId="3" xfId="36" applyFont="1" applyBorder="1"/>
    <xf numFmtId="4" fontId="5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5" fillId="0" borderId="5" xfId="0" applyNumberFormat="1" applyFont="1" applyBorder="1" applyAlignment="1">
      <alignment vertical="center" wrapText="1"/>
    </xf>
    <xf numFmtId="4" fontId="5" fillId="0" borderId="7" xfId="0" applyNumberFormat="1" applyFont="1" applyBorder="1" applyAlignment="1">
      <alignment vertical="center" wrapText="1"/>
    </xf>
    <xf numFmtId="17" fontId="70" fillId="0" borderId="0" xfId="0" applyNumberFormat="1" applyFont="1" applyAlignment="1">
      <alignment horizontal="center" vertical="top" wrapText="1"/>
    </xf>
    <xf numFmtId="0" fontId="70" fillId="0" borderId="0" xfId="0" applyFont="1" applyAlignment="1">
      <alignment vertical="top"/>
    </xf>
    <xf numFmtId="44" fontId="70" fillId="0" borderId="0" xfId="79" applyFont="1" applyAlignment="1">
      <alignment horizontal="center" vertical="top"/>
    </xf>
    <xf numFmtId="44" fontId="70" fillId="0" borderId="0" xfId="79" applyFont="1" applyAlignment="1">
      <alignment vertical="top"/>
    </xf>
    <xf numFmtId="2" fontId="70" fillId="0" borderId="0" xfId="0" applyNumberFormat="1" applyFont="1" applyAlignment="1">
      <alignment horizontal="center" vertical="top"/>
    </xf>
    <xf numFmtId="0" fontId="70" fillId="0" borderId="0" xfId="0" applyFont="1" applyAlignment="1">
      <alignment horizontal="center" vertical="top"/>
    </xf>
    <xf numFmtId="2" fontId="62" fillId="0" borderId="0" xfId="0" applyNumberFormat="1" applyFont="1" applyAlignment="1">
      <alignment horizontal="left" vertical="top"/>
    </xf>
    <xf numFmtId="2" fontId="62" fillId="0" borderId="0" xfId="0" applyNumberFormat="1" applyFont="1" applyAlignment="1">
      <alignment horizontal="center" vertical="top"/>
    </xf>
    <xf numFmtId="0" fontId="43" fillId="35" borderId="44" xfId="0" applyFont="1" applyFill="1" applyBorder="1" applyAlignment="1">
      <alignment horizontal="center" vertical="center" textRotation="90" wrapText="1"/>
    </xf>
    <xf numFmtId="0" fontId="54" fillId="0" borderId="0" xfId="45" applyFont="1" applyAlignment="1">
      <alignment horizontal="left" vertical="center"/>
    </xf>
    <xf numFmtId="0" fontId="54" fillId="0" borderId="0" xfId="45" applyFont="1"/>
    <xf numFmtId="0" fontId="55" fillId="48" borderId="0" xfId="0" applyFont="1" applyFill="1" applyAlignment="1">
      <alignment vertical="center" wrapText="1"/>
    </xf>
    <xf numFmtId="0" fontId="57" fillId="40" borderId="37" xfId="0" applyFont="1" applyFill="1" applyBorder="1" applyAlignment="1">
      <alignment vertical="center" wrapText="1"/>
    </xf>
    <xf numFmtId="0" fontId="40" fillId="0" borderId="0" xfId="45" applyFont="1" applyAlignment="1">
      <alignment horizontal="left"/>
    </xf>
    <xf numFmtId="0" fontId="57" fillId="40" borderId="0" xfId="0" applyFont="1" applyFill="1" applyAlignment="1">
      <alignment vertical="center" wrapText="1"/>
    </xf>
    <xf numFmtId="0" fontId="55" fillId="50" borderId="0" xfId="0" applyFont="1" applyFill="1" applyAlignment="1">
      <alignment horizontal="center" vertical="center" wrapText="1"/>
    </xf>
    <xf numFmtId="10" fontId="58" fillId="50" borderId="41" xfId="34" applyNumberFormat="1" applyFont="1" applyFill="1" applyBorder="1" applyAlignment="1">
      <alignment horizontal="center" vertical="center" wrapText="1"/>
    </xf>
    <xf numFmtId="49" fontId="62" fillId="0" borderId="0" xfId="36" applyNumberFormat="1" applyFont="1" applyAlignment="1" applyProtection="1">
      <alignment horizontal="center" vertical="top"/>
    </xf>
    <xf numFmtId="0" fontId="66" fillId="34" borderId="39" xfId="0" applyFont="1" applyFill="1" applyBorder="1" applyAlignment="1">
      <alignment vertical="top"/>
    </xf>
    <xf numFmtId="4" fontId="62" fillId="0" borderId="0" xfId="36" applyNumberFormat="1" applyFont="1" applyAlignment="1" applyProtection="1">
      <alignment horizontal="center" vertical="top"/>
    </xf>
    <xf numFmtId="0" fontId="61" fillId="0" borderId="0" xfId="45" applyFont="1" applyAlignment="1">
      <alignment horizontal="right" vertical="top"/>
    </xf>
    <xf numFmtId="1" fontId="62" fillId="34" borderId="40" xfId="36" applyNumberFormat="1" applyFont="1" applyFill="1" applyBorder="1" applyAlignment="1" applyProtection="1">
      <alignment horizontal="center" vertical="top"/>
    </xf>
    <xf numFmtId="4" fontId="62" fillId="0" borderId="39" xfId="36" applyNumberFormat="1" applyFont="1" applyFill="1" applyBorder="1" applyAlignment="1" applyProtection="1">
      <alignment horizontal="center" vertical="top"/>
    </xf>
    <xf numFmtId="14" fontId="62" fillId="0" borderId="0" xfId="45" applyNumberFormat="1" applyFont="1" applyAlignment="1">
      <alignment horizontal="center" vertical="top"/>
    </xf>
    <xf numFmtId="1" fontId="61" fillId="35" borderId="0" xfId="0" applyNumberFormat="1" applyFont="1" applyFill="1" applyAlignment="1">
      <alignment horizontal="center" vertical="top"/>
    </xf>
    <xf numFmtId="4" fontId="62" fillId="34" borderId="40" xfId="36" applyNumberFormat="1" applyFont="1" applyFill="1" applyBorder="1" applyAlignment="1" applyProtection="1">
      <alignment horizontal="right" vertical="top"/>
    </xf>
    <xf numFmtId="0" fontId="63" fillId="40" borderId="0" xfId="0" applyFont="1" applyFill="1" applyAlignment="1">
      <alignment vertical="top"/>
    </xf>
    <xf numFmtId="0" fontId="65" fillId="34" borderId="39" xfId="0" applyFont="1" applyFill="1" applyBorder="1" applyAlignment="1">
      <alignment vertical="top"/>
    </xf>
    <xf numFmtId="164" fontId="62" fillId="34" borderId="0" xfId="36" applyFont="1" applyFill="1" applyAlignment="1" applyProtection="1">
      <alignment vertical="top"/>
    </xf>
    <xf numFmtId="0" fontId="63" fillId="48" borderId="0" xfId="0" applyFont="1" applyFill="1" applyAlignment="1">
      <alignment horizontal="center" vertical="top"/>
    </xf>
    <xf numFmtId="4" fontId="61" fillId="35" borderId="32" xfId="45" applyNumberFormat="1" applyFont="1" applyFill="1" applyBorder="1" applyAlignment="1">
      <alignment horizontal="center" vertical="top"/>
    </xf>
    <xf numFmtId="0" fontId="63" fillId="48" borderId="37" xfId="0" applyFont="1" applyFill="1" applyBorder="1" applyAlignment="1">
      <alignment horizontal="center" vertical="top"/>
    </xf>
    <xf numFmtId="0" fontId="61" fillId="0" borderId="0" xfId="0" applyFont="1" applyAlignment="1">
      <alignment horizontal="center" vertical="top"/>
    </xf>
    <xf numFmtId="4" fontId="62" fillId="34" borderId="39" xfId="36" applyNumberFormat="1" applyFont="1" applyFill="1" applyBorder="1" applyAlignment="1" applyProtection="1">
      <alignment horizontal="right" vertical="top"/>
    </xf>
    <xf numFmtId="4" fontId="62" fillId="0" borderId="40" xfId="36" applyNumberFormat="1" applyFont="1" applyFill="1" applyBorder="1" applyAlignment="1" applyProtection="1">
      <alignment horizontal="right" vertical="top"/>
    </xf>
    <xf numFmtId="0" fontId="62" fillId="34" borderId="39" xfId="0" applyFont="1" applyFill="1" applyBorder="1" applyAlignment="1">
      <alignment vertical="top"/>
    </xf>
    <xf numFmtId="1" fontId="62" fillId="34" borderId="40" xfId="0" applyNumberFormat="1" applyFont="1" applyFill="1" applyBorder="1" applyAlignment="1">
      <alignment horizontal="center" vertical="top"/>
    </xf>
    <xf numFmtId="1" fontId="62" fillId="0" borderId="40" xfId="36" applyNumberFormat="1" applyFont="1" applyFill="1" applyBorder="1" applyAlignment="1" applyProtection="1">
      <alignment horizontal="center" vertical="top"/>
    </xf>
    <xf numFmtId="0" fontId="61" fillId="35" borderId="32" xfId="45" applyFont="1" applyFill="1" applyBorder="1" applyAlignment="1">
      <alignment horizontal="center" vertical="top"/>
    </xf>
    <xf numFmtId="0" fontId="61" fillId="35" borderId="0" xfId="45" applyFont="1" applyFill="1" applyAlignment="1">
      <alignment horizontal="right" vertical="top"/>
    </xf>
    <xf numFmtId="0" fontId="61" fillId="0" borderId="0" xfId="0" applyFont="1" applyAlignment="1">
      <alignment vertical="top"/>
    </xf>
    <xf numFmtId="0" fontId="61" fillId="35" borderId="32" xfId="45" applyFont="1" applyFill="1" applyBorder="1" applyAlignment="1">
      <alignment horizontal="right" vertical="top"/>
    </xf>
    <xf numFmtId="0" fontId="61" fillId="0" borderId="0" xfId="45" applyFont="1" applyAlignment="1">
      <alignment horizontal="left" vertical="top"/>
    </xf>
    <xf numFmtId="0" fontId="61" fillId="35" borderId="32" xfId="45" applyFont="1" applyFill="1" applyBorder="1" applyAlignment="1">
      <alignment horizontal="left" vertical="top"/>
    </xf>
    <xf numFmtId="49" fontId="62" fillId="0" borderId="0" xfId="36" applyNumberFormat="1" applyFont="1" applyAlignment="1" applyProtection="1">
      <alignment horizontal="right" vertical="top"/>
    </xf>
    <xf numFmtId="4" fontId="62" fillId="0" borderId="39" xfId="36" applyNumberFormat="1" applyFont="1" applyFill="1" applyBorder="1" applyAlignment="1" applyProtection="1">
      <alignment horizontal="right" vertical="top"/>
    </xf>
    <xf numFmtId="1" fontId="65" fillId="34" borderId="39" xfId="0" applyNumberFormat="1" applyFont="1" applyFill="1" applyBorder="1" applyAlignment="1">
      <alignment horizontal="center" vertical="top"/>
    </xf>
    <xf numFmtId="1" fontId="62" fillId="34" borderId="39" xfId="0" applyNumberFormat="1" applyFont="1" applyFill="1" applyBorder="1" applyAlignment="1">
      <alignment horizontal="center" vertical="top"/>
    </xf>
    <xf numFmtId="0" fontId="64" fillId="40" borderId="0" xfId="0" applyFont="1" applyFill="1" applyAlignment="1">
      <alignment horizontal="center" vertical="top"/>
    </xf>
    <xf numFmtId="49" fontId="62" fillId="34" borderId="40" xfId="36" applyNumberFormat="1" applyFont="1" applyFill="1" applyBorder="1" applyAlignment="1" applyProtection="1">
      <alignment horizontal="right" vertical="top"/>
    </xf>
    <xf numFmtId="4" fontId="62" fillId="34" borderId="39" xfId="36" applyNumberFormat="1" applyFont="1" applyFill="1" applyBorder="1" applyAlignment="1" applyProtection="1">
      <alignment horizontal="center" vertical="top"/>
    </xf>
    <xf numFmtId="49" fontId="61" fillId="0" borderId="0" xfId="0" applyNumberFormat="1" applyFont="1" applyAlignment="1">
      <alignment horizontal="center" vertical="top"/>
    </xf>
    <xf numFmtId="49" fontId="62" fillId="34" borderId="40" xfId="36" applyNumberFormat="1" applyFont="1" applyFill="1" applyBorder="1" applyAlignment="1" applyProtection="1">
      <alignment horizontal="center" vertical="top"/>
    </xf>
    <xf numFmtId="4" fontId="61" fillId="35" borderId="0" xfId="45" applyNumberFormat="1" applyFont="1" applyFill="1" applyAlignment="1">
      <alignment horizontal="right" vertical="top"/>
    </xf>
    <xf numFmtId="1" fontId="62" fillId="0" borderId="0" xfId="36" applyNumberFormat="1" applyFont="1" applyAlignment="1" applyProtection="1">
      <alignment horizontal="center" vertical="top"/>
    </xf>
    <xf numFmtId="0" fontId="62" fillId="0" borderId="0" xfId="0" applyFont="1" applyAlignment="1">
      <alignment horizontal="justify" vertical="top"/>
    </xf>
    <xf numFmtId="0" fontId="62" fillId="34" borderId="40" xfId="0" applyFont="1" applyFill="1" applyBorder="1" applyAlignment="1">
      <alignment vertical="top"/>
    </xf>
    <xf numFmtId="49" fontId="62" fillId="34" borderId="39" xfId="36" applyNumberFormat="1" applyFont="1" applyFill="1" applyBorder="1" applyAlignment="1" applyProtection="1">
      <alignment horizontal="center" vertical="top"/>
    </xf>
    <xf numFmtId="0" fontId="61" fillId="35" borderId="0" xfId="0" applyFont="1" applyFill="1" applyAlignment="1">
      <alignment vertical="top"/>
    </xf>
    <xf numFmtId="0" fontId="64" fillId="40" borderId="0" xfId="0" applyFont="1" applyFill="1" applyAlignment="1">
      <alignment vertical="top"/>
    </xf>
    <xf numFmtId="165" fontId="62" fillId="0" borderId="0" xfId="36" applyNumberFormat="1" applyFont="1" applyAlignment="1" applyProtection="1">
      <alignment horizontal="center" vertical="top"/>
    </xf>
    <xf numFmtId="49" fontId="62" fillId="34" borderId="39" xfId="36" applyNumberFormat="1" applyFont="1" applyFill="1" applyBorder="1" applyAlignment="1" applyProtection="1">
      <alignment horizontal="right" vertical="top"/>
    </xf>
    <xf numFmtId="10" fontId="43" fillId="51" borderId="39" xfId="46" applyNumberFormat="1" applyFont="1" applyFill="1" applyBorder="1" applyAlignment="1" applyProtection="1">
      <alignment horizontal="left" vertical="center"/>
      <protection locked="0"/>
    </xf>
    <xf numFmtId="0" fontId="61" fillId="35" borderId="0" xfId="45" applyFont="1" applyFill="1" applyAlignment="1">
      <alignment horizontal="left" vertical="top"/>
    </xf>
    <xf numFmtId="1" fontId="62" fillId="34" borderId="39" xfId="36" applyNumberFormat="1" applyFont="1" applyFill="1" applyBorder="1" applyAlignment="1" applyProtection="1">
      <alignment horizontal="center" vertical="top"/>
    </xf>
    <xf numFmtId="1" fontId="62" fillId="34" borderId="39" xfId="36" quotePrefix="1" applyNumberFormat="1" applyFont="1" applyFill="1" applyBorder="1" applyAlignment="1" applyProtection="1">
      <alignment horizontal="center" vertical="top"/>
    </xf>
    <xf numFmtId="1" fontId="62" fillId="0" borderId="0" xfId="0" applyNumberFormat="1" applyFont="1" applyAlignment="1">
      <alignment horizontal="center" vertical="top"/>
    </xf>
    <xf numFmtId="0" fontId="61" fillId="35" borderId="0" xfId="0" applyFont="1" applyFill="1" applyAlignment="1">
      <alignment horizontal="right" vertical="top"/>
    </xf>
    <xf numFmtId="0" fontId="61" fillId="35" borderId="0" xfId="45" applyFont="1" applyFill="1" applyAlignment="1">
      <alignment horizontal="center" vertical="top"/>
    </xf>
    <xf numFmtId="0" fontId="65" fillId="34" borderId="40" xfId="0" applyFont="1" applyFill="1" applyBorder="1" applyAlignment="1">
      <alignment vertical="top"/>
    </xf>
    <xf numFmtId="49" fontId="62" fillId="0" borderId="0" xfId="0" applyNumberFormat="1" applyFont="1" applyAlignment="1">
      <alignment horizontal="center" vertical="top"/>
    </xf>
    <xf numFmtId="4" fontId="62" fillId="0" borderId="40" xfId="36" applyNumberFormat="1" applyFont="1" applyFill="1" applyBorder="1" applyAlignment="1" applyProtection="1">
      <alignment horizontal="center" vertical="top"/>
    </xf>
    <xf numFmtId="0" fontId="62" fillId="0" borderId="0" xfId="45" applyFont="1" applyAlignment="1">
      <alignment horizontal="left" vertical="top"/>
    </xf>
    <xf numFmtId="1" fontId="62" fillId="34" borderId="40" xfId="36" quotePrefix="1" applyNumberFormat="1" applyFont="1" applyFill="1" applyBorder="1" applyAlignment="1" applyProtection="1">
      <alignment horizontal="center" vertical="top"/>
    </xf>
    <xf numFmtId="0" fontId="62" fillId="0" borderId="0" xfId="45" applyFont="1" applyAlignment="1">
      <alignment vertical="top"/>
    </xf>
    <xf numFmtId="164" fontId="62" fillId="0" borderId="0" xfId="36" applyFont="1" applyAlignment="1" applyProtection="1">
      <alignment vertical="top"/>
    </xf>
    <xf numFmtId="0" fontId="40" fillId="0" borderId="0" xfId="115" applyFont="1" applyAlignment="1">
      <alignment horizontal="left" vertical="center"/>
    </xf>
    <xf numFmtId="10" fontId="43" fillId="51" borderId="39" xfId="46" applyNumberFormat="1" applyFont="1" applyFill="1" applyBorder="1" applyAlignment="1" applyProtection="1">
      <alignment vertical="center"/>
      <protection locked="0"/>
    </xf>
    <xf numFmtId="0" fontId="46" fillId="0" borderId="0" xfId="45" applyFont="1" applyAlignment="1">
      <alignment vertical="top"/>
    </xf>
    <xf numFmtId="4" fontId="74" fillId="34" borderId="39" xfId="45" applyNumberFormat="1" applyFont="1" applyFill="1" applyBorder="1" applyAlignment="1" applyProtection="1">
      <alignment horizontal="right" vertical="center"/>
      <protection locked="0"/>
    </xf>
    <xf numFmtId="2" fontId="65" fillId="0" borderId="40" xfId="71" applyNumberFormat="1" applyFont="1" applyFill="1" applyBorder="1" applyAlignment="1" applyProtection="1">
      <alignment horizontal="center" vertical="top"/>
      <protection locked="0"/>
    </xf>
    <xf numFmtId="49" fontId="62" fillId="0" borderId="40" xfId="36" applyNumberFormat="1" applyFont="1" applyFill="1" applyBorder="1" applyAlignment="1" applyProtection="1">
      <alignment horizontal="center" vertical="top"/>
    </xf>
    <xf numFmtId="2" fontId="65" fillId="0" borderId="40" xfId="36" applyNumberFormat="1" applyFont="1" applyFill="1" applyBorder="1" applyAlignment="1" applyProtection="1">
      <alignment horizontal="center" vertical="top"/>
      <protection locked="0"/>
    </xf>
    <xf numFmtId="49" fontId="62" fillId="0" borderId="39" xfId="36" applyNumberFormat="1" applyFont="1" applyFill="1" applyBorder="1" applyAlignment="1" applyProtection="1">
      <alignment horizontal="center" vertical="top"/>
    </xf>
    <xf numFmtId="165" fontId="62" fillId="0" borderId="0" xfId="36" applyNumberFormat="1" applyFont="1" applyFill="1" applyAlignment="1" applyProtection="1">
      <alignment horizontal="center" vertical="top"/>
    </xf>
    <xf numFmtId="49" fontId="62" fillId="0" borderId="0" xfId="36" applyNumberFormat="1" applyFont="1" applyFill="1" applyAlignment="1" applyProtection="1">
      <alignment horizontal="center" vertical="top"/>
    </xf>
    <xf numFmtId="4" fontId="65" fillId="0" borderId="39" xfId="36" applyNumberFormat="1" applyFont="1" applyFill="1" applyBorder="1" applyAlignment="1" applyProtection="1">
      <alignment horizontal="right" vertical="top"/>
      <protection locked="0"/>
    </xf>
    <xf numFmtId="4" fontId="65" fillId="0" borderId="40" xfId="36" applyNumberFormat="1" applyFont="1" applyFill="1" applyBorder="1" applyAlignment="1" applyProtection="1">
      <alignment horizontal="right" vertical="top"/>
      <protection locked="0"/>
    </xf>
    <xf numFmtId="1" fontId="43" fillId="44" borderId="35" xfId="0" applyNumberFormat="1" applyFont="1" applyFill="1" applyBorder="1" applyAlignment="1">
      <alignment horizontal="center"/>
    </xf>
    <xf numFmtId="2" fontId="44" fillId="34" borderId="40" xfId="48" applyNumberFormat="1" applyFont="1" applyFill="1" applyBorder="1" applyAlignment="1">
      <alignment horizontal="center" vertical="center"/>
    </xf>
    <xf numFmtId="1" fontId="43" fillId="44" borderId="31" xfId="0" applyNumberFormat="1" applyFont="1" applyFill="1" applyBorder="1" applyAlignment="1">
      <alignment horizontal="center"/>
    </xf>
    <xf numFmtId="4" fontId="38" fillId="47" borderId="35" xfId="51" applyNumberFormat="1" applyFont="1" applyFill="1" applyBorder="1" applyAlignment="1">
      <alignment horizontal="center" vertical="center"/>
    </xf>
    <xf numFmtId="2" fontId="44" fillId="34" borderId="39" xfId="48" applyNumberFormat="1" applyFont="1" applyFill="1" applyBorder="1" applyAlignment="1">
      <alignment horizontal="center" vertical="center"/>
    </xf>
    <xf numFmtId="167" fontId="39" fillId="0" borderId="0" xfId="0" applyNumberFormat="1" applyFont="1" applyAlignment="1" applyProtection="1">
      <alignment horizontal="center" vertical="center"/>
      <protection locked="0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 horizontal="justify" vertical="center"/>
    </xf>
    <xf numFmtId="0" fontId="11" fillId="0" borderId="9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9" borderId="0" xfId="0" applyFont="1" applyFill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/>
    </xf>
    <xf numFmtId="0" fontId="11" fillId="9" borderId="2" xfId="0" applyFont="1" applyFill="1" applyBorder="1" applyAlignment="1">
      <alignment horizontal="justify" vertical="justify" wrapText="1"/>
    </xf>
    <xf numFmtId="0" fontId="7" fillId="9" borderId="0" xfId="0" applyFont="1" applyFill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" fontId="11" fillId="9" borderId="8" xfId="0" applyNumberFormat="1" applyFont="1" applyFill="1" applyBorder="1" applyAlignment="1">
      <alignment horizontal="center"/>
    </xf>
    <xf numFmtId="0" fontId="40" fillId="0" borderId="0" xfId="0" applyFont="1" applyAlignment="1">
      <alignment horizontal="justify" vertical="top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horizontal="left" vertical="top" wrapText="1"/>
    </xf>
    <xf numFmtId="0" fontId="37" fillId="38" borderId="37" xfId="0" applyFont="1" applyFill="1" applyBorder="1" applyAlignment="1">
      <alignment horizontal="center" vertical="center"/>
    </xf>
    <xf numFmtId="0" fontId="43" fillId="37" borderId="38" xfId="51" applyFont="1" applyFill="1" applyBorder="1" applyAlignment="1">
      <alignment horizontal="left" vertical="center"/>
    </xf>
    <xf numFmtId="0" fontId="47" fillId="0" borderId="0" xfId="0" applyFont="1" applyAlignment="1">
      <alignment horizontal="left" vertical="top" wrapText="1"/>
    </xf>
    <xf numFmtId="2" fontId="70" fillId="0" borderId="0" xfId="0" applyNumberFormat="1" applyFont="1" applyAlignment="1">
      <alignment horizontal="center" vertical="center" wrapText="1"/>
    </xf>
    <xf numFmtId="0" fontId="61" fillId="0" borderId="0" xfId="0" applyFont="1" applyAlignment="1">
      <alignment horizontal="center" vertical="top" wrapText="1"/>
    </xf>
    <xf numFmtId="0" fontId="63" fillId="48" borderId="0" xfId="0" applyFont="1" applyFill="1" applyAlignment="1">
      <alignment horizontal="center" vertical="top"/>
    </xf>
    <xf numFmtId="49" fontId="63" fillId="48" borderId="0" xfId="0" applyNumberFormat="1" applyFont="1" applyFill="1" applyAlignment="1">
      <alignment horizontal="center" vertical="top" wrapText="1"/>
    </xf>
    <xf numFmtId="0" fontId="62" fillId="0" borderId="0" xfId="0" applyFont="1" applyAlignment="1">
      <alignment horizontal="left" vertical="top" wrapText="1"/>
    </xf>
    <xf numFmtId="0" fontId="62" fillId="34" borderId="40" xfId="0" applyFont="1" applyFill="1" applyBorder="1" applyAlignment="1">
      <alignment horizontal="left" vertical="top" wrapText="1"/>
    </xf>
    <xf numFmtId="0" fontId="65" fillId="0" borderId="0" xfId="0" applyFont="1" applyAlignment="1">
      <alignment horizontal="justify" vertical="top" wrapText="1"/>
    </xf>
    <xf numFmtId="0" fontId="65" fillId="0" borderId="0" xfId="0" applyFont="1" applyAlignment="1">
      <alignment horizontal="left" vertical="top"/>
    </xf>
    <xf numFmtId="0" fontId="62" fillId="34" borderId="39" xfId="0" applyFont="1" applyFill="1" applyBorder="1" applyAlignment="1">
      <alignment horizontal="left" vertical="top" wrapText="1"/>
    </xf>
    <xf numFmtId="0" fontId="62" fillId="34" borderId="0" xfId="0" applyFont="1" applyFill="1" applyAlignment="1">
      <alignment horizontal="left" vertical="top" wrapText="1"/>
    </xf>
    <xf numFmtId="0" fontId="37" fillId="38" borderId="0" xfId="45" applyFont="1" applyFill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45" applyFont="1" applyAlignment="1">
      <alignment horizontal="left" vertical="center" wrapText="1"/>
    </xf>
    <xf numFmtId="1" fontId="44" fillId="0" borderId="0" xfId="45" applyNumberFormat="1" applyFont="1" applyAlignment="1">
      <alignment horizontal="left" vertical="center" wrapText="1"/>
    </xf>
    <xf numFmtId="1" fontId="44" fillId="0" borderId="0" xfId="45" applyNumberFormat="1" applyFont="1" applyAlignment="1">
      <alignment horizontal="left" vertical="center"/>
    </xf>
    <xf numFmtId="0" fontId="46" fillId="0" borderId="0" xfId="45" applyFont="1" applyAlignment="1">
      <alignment horizontal="center" vertical="top"/>
    </xf>
    <xf numFmtId="0" fontId="44" fillId="0" borderId="0" xfId="45" applyFont="1" applyAlignment="1">
      <alignment horizontal="center" vertical="center"/>
    </xf>
    <xf numFmtId="0" fontId="45" fillId="0" borderId="0" xfId="45" applyFont="1" applyAlignment="1">
      <alignment horizontal="left" vertical="top" wrapText="1"/>
    </xf>
    <xf numFmtId="0" fontId="39" fillId="0" borderId="0" xfId="45" applyFont="1" applyAlignment="1">
      <alignment horizontal="center" vertical="center" wrapText="1"/>
    </xf>
    <xf numFmtId="4" fontId="36" fillId="48" borderId="37" xfId="45" applyNumberFormat="1" applyFont="1" applyFill="1" applyBorder="1" applyAlignment="1">
      <alignment horizontal="center" vertical="center" wrapText="1"/>
    </xf>
    <xf numFmtId="0" fontId="53" fillId="48" borderId="0" xfId="45" applyFont="1" applyFill="1" applyAlignment="1">
      <alignment horizontal="left" vertical="center" wrapText="1"/>
    </xf>
    <xf numFmtId="0" fontId="45" fillId="0" borderId="0" xfId="45" applyFont="1" applyAlignment="1" applyProtection="1">
      <alignment horizontal="center" vertical="center"/>
      <protection locked="0"/>
    </xf>
    <xf numFmtId="0" fontId="45" fillId="51" borderId="0" xfId="45" applyFont="1" applyFill="1" applyAlignment="1" applyProtection="1">
      <alignment horizontal="center" vertical="center"/>
      <protection locked="0"/>
    </xf>
    <xf numFmtId="4" fontId="39" fillId="0" borderId="0" xfId="45" applyNumberFormat="1" applyFont="1" applyAlignment="1">
      <alignment horizontal="center"/>
    </xf>
    <xf numFmtId="14" fontId="40" fillId="0" borderId="0" xfId="45" applyNumberFormat="1" applyFont="1" applyAlignment="1">
      <alignment horizontal="center"/>
    </xf>
    <xf numFmtId="0" fontId="57" fillId="40" borderId="45" xfId="0" applyFont="1" applyFill="1" applyBorder="1" applyAlignment="1">
      <alignment horizontal="center" vertical="center" wrapText="1"/>
    </xf>
    <xf numFmtId="0" fontId="57" fillId="40" borderId="37" xfId="0" applyFont="1" applyFill="1" applyBorder="1" applyAlignment="1">
      <alignment horizontal="center" vertical="center" wrapText="1"/>
    </xf>
    <xf numFmtId="0" fontId="57" fillId="40" borderId="33" xfId="0" applyFont="1" applyFill="1" applyBorder="1" applyAlignment="1">
      <alignment horizontal="center" vertical="center" wrapText="1"/>
    </xf>
    <xf numFmtId="0" fontId="57" fillId="40" borderId="35" xfId="0" applyFont="1" applyFill="1" applyBorder="1" applyAlignment="1">
      <alignment horizontal="center" vertical="center" wrapText="1"/>
    </xf>
    <xf numFmtId="0" fontId="57" fillId="40" borderId="34" xfId="0" applyFont="1" applyFill="1" applyBorder="1" applyAlignment="1">
      <alignment horizontal="center" vertical="center" wrapText="1"/>
    </xf>
    <xf numFmtId="0" fontId="55" fillId="48" borderId="0" xfId="0" applyFont="1" applyFill="1" applyAlignment="1">
      <alignment horizontal="center" vertical="center" wrapText="1"/>
    </xf>
    <xf numFmtId="0" fontId="57" fillId="40" borderId="32" xfId="0" applyFont="1" applyFill="1" applyBorder="1" applyAlignment="1">
      <alignment horizontal="center" vertical="center" wrapText="1"/>
    </xf>
    <xf numFmtId="0" fontId="57" fillId="40" borderId="44" xfId="0" applyFont="1" applyFill="1" applyBorder="1" applyAlignment="1">
      <alignment horizontal="center" vertical="center" wrapText="1"/>
    </xf>
    <xf numFmtId="0" fontId="57" fillId="40" borderId="46" xfId="0" applyFont="1" applyFill="1" applyBorder="1" applyAlignment="1">
      <alignment horizontal="center" vertical="center" wrapText="1"/>
    </xf>
    <xf numFmtId="0" fontId="57" fillId="40" borderId="31" xfId="0" applyFont="1" applyFill="1" applyBorder="1" applyAlignment="1">
      <alignment horizontal="center" vertical="center"/>
    </xf>
    <xf numFmtId="0" fontId="39" fillId="0" borderId="33" xfId="45" applyFont="1" applyBorder="1" applyAlignment="1">
      <alignment horizontal="center" vertical="center" wrapText="1"/>
    </xf>
    <xf numFmtId="0" fontId="39" fillId="0" borderId="35" xfId="45" applyFont="1" applyBorder="1" applyAlignment="1">
      <alignment horizontal="center" vertical="center" wrapText="1"/>
    </xf>
    <xf numFmtId="0" fontId="55" fillId="48" borderId="0" xfId="49" applyFont="1" applyFill="1" applyAlignment="1">
      <alignment horizontal="left" vertical="center"/>
    </xf>
    <xf numFmtId="0" fontId="55" fillId="48" borderId="0" xfId="49" applyFont="1" applyFill="1" applyAlignment="1">
      <alignment horizontal="right" vertical="center"/>
    </xf>
  </cellXfs>
  <cellStyles count="122">
    <cellStyle name="20% - Ênfase1" xfId="1" builtinId="30" customBuiltin="1"/>
    <cellStyle name="20% - Ênfase1 2" xfId="61" xr:uid="{00000000-0005-0000-0000-000001000000}"/>
    <cellStyle name="20% - Ênfase1 2 2" xfId="108" xr:uid="{13386BB5-F00B-4F87-9E32-90FABE1042EB}"/>
    <cellStyle name="20% - Ênfase1 3" xfId="80" xr:uid="{45AD7846-BFE4-412A-92FF-24993CE1EBF7}"/>
    <cellStyle name="20% - Ênfase2" xfId="2" builtinId="34" customBuiltin="1"/>
    <cellStyle name="20% - Ênfase2 2" xfId="62" xr:uid="{00000000-0005-0000-0000-000003000000}"/>
    <cellStyle name="20% - Ênfase2 2 2" xfId="109" xr:uid="{B23145EB-2D2A-4524-8E0C-A4FB31DDF87A}"/>
    <cellStyle name="20% - Ênfase2 3" xfId="81" xr:uid="{035A795C-5D94-49A7-862F-66449D7626C7}"/>
    <cellStyle name="20% - Ênfase3" xfId="3" builtinId="38" customBuiltin="1"/>
    <cellStyle name="20% - Ênfase3 2" xfId="63" xr:uid="{00000000-0005-0000-0000-000005000000}"/>
    <cellStyle name="20% - Ênfase3 2 2" xfId="110" xr:uid="{D84FF1C7-B094-4205-B8F3-BAF9BF64A86E}"/>
    <cellStyle name="20% - Ênfase3 3" xfId="82" xr:uid="{BAD999DA-1840-45A5-9DFF-D1CD41A48B8F}"/>
    <cellStyle name="20% - Ênfase4" xfId="4" builtinId="42" customBuiltin="1"/>
    <cellStyle name="20% - Ênfase4 2" xfId="64" xr:uid="{00000000-0005-0000-0000-000007000000}"/>
    <cellStyle name="20% - Ênfase4 2 2" xfId="111" xr:uid="{7DFFAA3D-DA43-4DA7-ABF1-4CE2096575E7}"/>
    <cellStyle name="20% - Ênfase4 3" xfId="83" xr:uid="{8A49F79B-251C-4ED8-A576-F7BDAD4A838A}"/>
    <cellStyle name="20% - Ênfase5" xfId="5" builtinId="46" customBuiltin="1"/>
    <cellStyle name="20% - Ênfase5 2" xfId="56" xr:uid="{00000000-0005-0000-0000-000009000000}"/>
    <cellStyle name="20% - Ênfase5 2 2" xfId="103" xr:uid="{621D7763-8D97-47CB-AAA7-AA63D4B11F86}"/>
    <cellStyle name="20% - Ênfase5 3" xfId="84" xr:uid="{7BD5450E-7E7D-4428-BAAE-0FD454DDF6CA}"/>
    <cellStyle name="20% - Ênfase6" xfId="6" builtinId="50" customBuiltin="1"/>
    <cellStyle name="20% - Ênfase6 2" xfId="58" xr:uid="{00000000-0005-0000-0000-00000B000000}"/>
    <cellStyle name="20% - Ênfase6 2 2" xfId="105" xr:uid="{EB2286C9-9146-40BA-9FD3-1A33F42C5BC8}"/>
    <cellStyle name="20% - Ênfase6 3" xfId="85" xr:uid="{A4FAC369-B0A4-4675-B504-884A1F2B96D2}"/>
    <cellStyle name="40% - Ênfase1" xfId="7" builtinId="31" customBuiltin="1"/>
    <cellStyle name="40% - Ênfase1 2" xfId="53" xr:uid="{00000000-0005-0000-0000-00000D000000}"/>
    <cellStyle name="40% - Ênfase1 2 2" xfId="100" xr:uid="{B59903A1-DA60-474B-81D9-5D8C30B1F8AF}"/>
    <cellStyle name="40% - Ênfase1 3" xfId="86" xr:uid="{9BB53A80-278C-454E-B997-7106B7E1AE19}"/>
    <cellStyle name="40% - Ênfase2" xfId="8" builtinId="35" customBuiltin="1"/>
    <cellStyle name="40% - Ênfase2 2" xfId="54" xr:uid="{00000000-0005-0000-0000-00000F000000}"/>
    <cellStyle name="40% - Ênfase2 2 2" xfId="101" xr:uid="{D38D6356-2A96-4495-AA3B-226294F05338}"/>
    <cellStyle name="40% - Ênfase2 3" xfId="87" xr:uid="{D8B406F8-9079-4A52-9C3B-8E29A447EF6F}"/>
    <cellStyle name="40% - Ênfase3" xfId="9" builtinId="39" customBuiltin="1"/>
    <cellStyle name="40% - Ênfase3 2" xfId="65" xr:uid="{00000000-0005-0000-0000-000011000000}"/>
    <cellStyle name="40% - Ênfase3 2 2" xfId="112" xr:uid="{08B8F378-D8A1-4E7C-86CE-1E72D5C72CC2}"/>
    <cellStyle name="40% - Ênfase3 3" xfId="88" xr:uid="{F87AC979-2BD1-4DC8-88AE-D45A2E6A8CE5}"/>
    <cellStyle name="40% - Ênfase4" xfId="10" builtinId="43" customBuiltin="1"/>
    <cellStyle name="40% - Ênfase4 2" xfId="55" xr:uid="{00000000-0005-0000-0000-000013000000}"/>
    <cellStyle name="40% - Ênfase4 2 2" xfId="102" xr:uid="{A519CA47-E461-4C7B-956F-05C49793D748}"/>
    <cellStyle name="40% - Ênfase4 3" xfId="89" xr:uid="{15C5083F-F5C0-437E-90DB-140317587CCC}"/>
    <cellStyle name="40% - Ênfase5" xfId="11" builtinId="47" customBuiltin="1"/>
    <cellStyle name="40% - Ênfase5 2" xfId="57" xr:uid="{00000000-0005-0000-0000-000015000000}"/>
    <cellStyle name="40% - Ênfase5 2 2" xfId="104" xr:uid="{0852D14F-E9B8-49A5-A76F-93A82871959D}"/>
    <cellStyle name="40% - Ênfase5 3" xfId="90" xr:uid="{035DE22D-F413-4B71-94A0-77FBC86F7F50}"/>
    <cellStyle name="40% - Ênfase6" xfId="12" builtinId="51" customBuiltin="1"/>
    <cellStyle name="40% - Ênfase6 2" xfId="59" xr:uid="{00000000-0005-0000-0000-000017000000}"/>
    <cellStyle name="40% - Ênfase6 2 2" xfId="106" xr:uid="{E385F534-A4D1-427E-BDE7-4F839E22B59B}"/>
    <cellStyle name="40% - Ênfase6 3" xfId="91" xr:uid="{1D3321C2-F39E-45CA-9901-9259C7B7054C}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3 2" xfId="66" xr:uid="{00000000-0005-0000-0000-00001B000000}"/>
    <cellStyle name="60% - Ênfase4" xfId="16" builtinId="44" customBuiltin="1"/>
    <cellStyle name="60% - Ênfase4 2" xfId="67" xr:uid="{00000000-0005-0000-0000-00001D000000}"/>
    <cellStyle name="60% - Ênfase5" xfId="17" builtinId="48" customBuiltin="1"/>
    <cellStyle name="60% - Ênfase6" xfId="18" builtinId="52" customBuiltin="1"/>
    <cellStyle name="60% - Ênfase6 2" xfId="68" xr:uid="{00000000-0005-0000-0000-000020000000}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Moeda" xfId="79" builtinId="4"/>
    <cellStyle name="Moeda 2" xfId="121" xr:uid="{1A64B416-FB58-4321-BB5A-F977A3D82259}"/>
    <cellStyle name="Neutro" xfId="31" builtinId="28" customBuiltin="1"/>
    <cellStyle name="Normal" xfId="0" builtinId="0"/>
    <cellStyle name="Normal 2" xfId="32" xr:uid="{00000000-0005-0000-0000-00002F000000}"/>
    <cellStyle name="Normal 2 2" xfId="69" xr:uid="{00000000-0005-0000-0000-000030000000}"/>
    <cellStyle name="Normal 2 2 2" xfId="113" xr:uid="{6F1E14D0-9D10-4C2F-A098-8E3B34416800}"/>
    <cellStyle name="Normal 2 3" xfId="92" xr:uid="{C069AFA1-9DB6-4D3E-BFAB-1FDDDDD5BE6E}"/>
    <cellStyle name="Normal 3" xfId="45" xr:uid="{00000000-0005-0000-0000-000031000000}"/>
    <cellStyle name="Normal 3 2" xfId="73" xr:uid="{00000000-0005-0000-0000-000032000000}"/>
    <cellStyle name="Normal 3 2 2" xfId="115" xr:uid="{867CCCEC-4087-438B-A8CD-75E8CA6BAE7B}"/>
    <cellStyle name="Normal 3 3" xfId="93" xr:uid="{64256FCE-D22C-4BA1-B22F-86B827596B51}"/>
    <cellStyle name="Normal 4" xfId="49" xr:uid="{00000000-0005-0000-0000-000033000000}"/>
    <cellStyle name="Normal 4 2" xfId="77" xr:uid="{00000000-0005-0000-0000-000034000000}"/>
    <cellStyle name="Normal 4 2 2" xfId="119" xr:uid="{4DA37EEB-8CED-4121-81C7-22704E23536F}"/>
    <cellStyle name="Normal 4 3" xfId="97" xr:uid="{B7F5B516-4340-4E1D-8171-D496ECF4EA7E}"/>
    <cellStyle name="Normal 5" xfId="51" xr:uid="{00000000-0005-0000-0000-000035000000}"/>
    <cellStyle name="Normal 6" xfId="60" xr:uid="{00000000-0005-0000-0000-000036000000}"/>
    <cellStyle name="Normal 6 2" xfId="107" xr:uid="{D2316F4B-EC69-41FA-B293-70DACF573C2D}"/>
    <cellStyle name="Normal 7" xfId="52" xr:uid="{00000000-0005-0000-0000-000037000000}"/>
    <cellStyle name="Normal 7 2" xfId="99" xr:uid="{7113D477-0EA3-4D86-92B8-50CE2A84CDA2}"/>
    <cellStyle name="Nota 2" xfId="33" xr:uid="{00000000-0005-0000-0000-000038000000}"/>
    <cellStyle name="Porcentagem" xfId="34" builtinId="5"/>
    <cellStyle name="Porcentagem 2" xfId="46" xr:uid="{00000000-0005-0000-0000-00003A000000}"/>
    <cellStyle name="Porcentagem 2 2" xfId="74" xr:uid="{00000000-0005-0000-0000-00003B000000}"/>
    <cellStyle name="Porcentagem 2 2 2" xfId="116" xr:uid="{1A30FC65-1B9A-4D56-BB27-C70F18F89D56}"/>
    <cellStyle name="Porcentagem 2 3" xfId="94" xr:uid="{667BEC85-3AB2-43FF-9003-8C91D2A8019E}"/>
    <cellStyle name="Porcentagem 3" xfId="50" xr:uid="{00000000-0005-0000-0000-00003C000000}"/>
    <cellStyle name="Porcentagem 3 2" xfId="78" xr:uid="{00000000-0005-0000-0000-00003D000000}"/>
    <cellStyle name="Porcentagem 3 2 2" xfId="120" xr:uid="{EEB53B95-FBDA-4219-A864-0BA3772FEEEC}"/>
    <cellStyle name="Porcentagem 3 3" xfId="98" xr:uid="{614BD9FC-EF3F-4F48-A00B-0519B1357EB0}"/>
    <cellStyle name="Porcentagem 4" xfId="70" xr:uid="{00000000-0005-0000-0000-00003E000000}"/>
    <cellStyle name="Ruim" xfId="30" builtinId="27" customBuiltin="1"/>
    <cellStyle name="Saída" xfId="35" builtinId="21" customBuiltin="1"/>
    <cellStyle name="Separador de milhares 2" xfId="48" xr:uid="{00000000-0005-0000-0000-000040000000}"/>
    <cellStyle name="Separador de milhares 2 2" xfId="76" xr:uid="{00000000-0005-0000-0000-000041000000}"/>
    <cellStyle name="Separador de milhares 2 2 2" xfId="118" xr:uid="{9BD9B325-3EEB-4FDE-B065-4AE47AEE597C}"/>
    <cellStyle name="Separador de milhares 2 3" xfId="96" xr:uid="{BCBC1D51-AE58-4A41-A4B2-A27A4CFA16D5}"/>
    <cellStyle name="Texto de Aviso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ítulo 4" xfId="43" builtinId="19" customBuiltin="1"/>
    <cellStyle name="Título 5" xfId="72" xr:uid="{00000000-0005-0000-0000-000049000000}"/>
    <cellStyle name="Total" xfId="44" builtinId="25" customBuiltin="1"/>
    <cellStyle name="Vírgula" xfId="36" builtinId="3"/>
    <cellStyle name="Vírgula 2" xfId="47" xr:uid="{00000000-0005-0000-0000-00004C000000}"/>
    <cellStyle name="Vírgula 2 2" xfId="75" xr:uid="{00000000-0005-0000-0000-00004D000000}"/>
    <cellStyle name="Vírgula 2 2 2" xfId="117" xr:uid="{B70EF6EB-5868-4F09-BD42-D1E17FC2575C}"/>
    <cellStyle name="Vírgula 2 3" xfId="95" xr:uid="{196B2110-46ED-47CD-8671-6820D1155FDF}"/>
    <cellStyle name="Vírgula 3" xfId="71" xr:uid="{00000000-0005-0000-0000-00004E000000}"/>
    <cellStyle name="Vírgula 3 2" xfId="114" xr:uid="{DE238F09-D82E-49B1-94D8-9366152F39D6}"/>
  </cellStyles>
  <dxfs count="15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CC99"/>
      <color rgb="FFC6E6A2"/>
      <color rgb="FFA0E8E6"/>
      <color rgb="FF81E1DF"/>
      <color rgb="FFFFFF99"/>
      <color rgb="FFF48E56"/>
      <color rgb="FF00CC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7</xdr:row>
      <xdr:rowOff>161925</xdr:rowOff>
    </xdr:from>
    <xdr:to>
      <xdr:col>6</xdr:col>
      <xdr:colOff>474667</xdr:colOff>
      <xdr:row>12</xdr:row>
      <xdr:rowOff>177663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0425318-7EF7-4F79-8C9A-533013A85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428750"/>
          <a:ext cx="2055817" cy="92061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45814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099C775-97EE-4418-A0A4-F7FDDB801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B946C9F-AFDE-4615-B48B-875A831AF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7DB16B9-78D3-4995-8367-9B80143FC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7CE91C9-C1D2-4C50-9C6E-E1957A77E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EC04E89-978A-48AD-A953-0988E93EE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1136303</xdr:colOff>
      <xdr:row>1</xdr:row>
      <xdr:rowOff>46788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C89BA44-6527-40FE-8C64-93B1579337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FA6D5ED-5AE5-4428-AA96-EE9ED1DA6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4984E0B-0A51-4026-A4B0-EFD4A386D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235099</xdr:colOff>
      <xdr:row>2</xdr:row>
      <xdr:rowOff>45814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DD5DE76-43AC-4C5C-A304-083CD5A61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369570</xdr:colOff>
      <xdr:row>1</xdr:row>
      <xdr:rowOff>87072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6056EAB-8D8C-4C5E-AC3E-EBD78699F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2819400</xdr:colOff>
      <xdr:row>0</xdr:row>
      <xdr:rowOff>19050</xdr:rowOff>
    </xdr:from>
    <xdr:to>
      <xdr:col>2</xdr:col>
      <xdr:colOff>152400</xdr:colOff>
      <xdr:row>8</xdr:row>
      <xdr:rowOff>142875</xdr:rowOff>
    </xdr:to>
    <xdr:pic>
      <xdr:nvPicPr>
        <xdr:cNvPr id="12930" name="Imagem 1" descr="brasão_rj.JPG">
          <a:extLst>
            <a:ext uri="{FF2B5EF4-FFF2-40B4-BE49-F238E27FC236}">
              <a16:creationId xmlns:a16="http://schemas.microsoft.com/office/drawing/2014/main" id="{00000000-0008-0000-0100-0000823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b="4668"/>
        <a:stretch>
          <a:fillRect/>
        </a:stretch>
      </xdr:blipFill>
      <xdr:spPr bwMode="auto">
        <a:xfrm>
          <a:off x="3248025" y="19050"/>
          <a:ext cx="112395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1</xdr:row>
      <xdr:rowOff>28575</xdr:rowOff>
    </xdr:from>
    <xdr:to>
      <xdr:col>3</xdr:col>
      <xdr:colOff>66675</xdr:colOff>
      <xdr:row>8</xdr:row>
      <xdr:rowOff>19050</xdr:rowOff>
    </xdr:to>
    <xdr:pic>
      <xdr:nvPicPr>
        <xdr:cNvPr id="20083" name="Imagem 1" descr="brasão_rj.JPG">
          <a:extLst>
            <a:ext uri="{FF2B5EF4-FFF2-40B4-BE49-F238E27FC236}">
              <a16:creationId xmlns:a16="http://schemas.microsoft.com/office/drawing/2014/main" id="{00000000-0008-0000-0200-0000734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b="4668"/>
        <a:stretch>
          <a:fillRect/>
        </a:stretch>
      </xdr:blipFill>
      <xdr:spPr bwMode="auto">
        <a:xfrm>
          <a:off x="5667375" y="190500"/>
          <a:ext cx="8953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66607</xdr:colOff>
      <xdr:row>3</xdr:row>
      <xdr:rowOff>53340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C26C963-F695-4C3B-9E7D-3E0A26643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42957" cy="5962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321945</xdr:colOff>
      <xdr:row>1</xdr:row>
      <xdr:rowOff>246399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72605A2-BAF1-45A9-8553-7E37A62B73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196388</xdr:colOff>
      <xdr:row>2</xdr:row>
      <xdr:rowOff>9140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E25474F-4327-4AF7-A8EE-4380CCA7A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215705</xdr:colOff>
      <xdr:row>1</xdr:row>
      <xdr:rowOff>244934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EFEF6FE-5385-4DDE-8BF6-3708733A2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D6BE01D-0940-4785-92A4-FCD6C892B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962B3F7-C64E-4705-8CA4-7BFD3BC62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theme="8" tint="-0.249977111117893"/>
    <pageSetUpPr fitToPage="1"/>
  </sheetPr>
  <dimension ref="A1:J144"/>
  <sheetViews>
    <sheetView showGridLines="0" tabSelected="1" view="pageBreakPreview" topLeftCell="A16" zoomScaleNormal="100" zoomScaleSheetLayoutView="100" zoomScalePageLayoutView="40" workbookViewId="0">
      <selection activeCell="H36" sqref="H36"/>
    </sheetView>
  </sheetViews>
  <sheetFormatPr defaultColWidth="8.85546875" defaultRowHeight="15.75"/>
  <cols>
    <col min="1" max="10" width="9.5703125" style="53" customWidth="1"/>
    <col min="11" max="16384" width="8.85546875" style="53"/>
  </cols>
  <sheetData>
    <row r="1" spans="1:9" ht="14.45" customHeight="1">
      <c r="A1" s="52"/>
      <c r="B1" s="52"/>
      <c r="C1" s="52"/>
      <c r="D1" s="52"/>
      <c r="E1" s="52"/>
      <c r="F1" s="52"/>
      <c r="G1" s="52"/>
      <c r="H1" s="52"/>
      <c r="I1" s="52"/>
    </row>
    <row r="2" spans="1:9" ht="14.45" customHeight="1"/>
    <row r="3" spans="1:9" ht="14.45" customHeight="1"/>
    <row r="4" spans="1:9" ht="14.45" customHeight="1"/>
    <row r="5" spans="1:9" ht="14.45" customHeight="1"/>
    <row r="6" spans="1:9" ht="14.45" customHeight="1"/>
    <row r="7" spans="1:9" ht="14.45" customHeight="1"/>
    <row r="8" spans="1:9" ht="14.45" customHeight="1"/>
    <row r="9" spans="1:9" ht="14.45" customHeight="1"/>
    <row r="10" spans="1:9" ht="14.45" customHeight="1"/>
    <row r="11" spans="1:9" ht="14.45" customHeight="1"/>
    <row r="12" spans="1:9" ht="14.45" customHeight="1"/>
    <row r="13" spans="1:9" ht="14.45" customHeight="1"/>
    <row r="14" spans="1:9" ht="14.45" customHeight="1"/>
    <row r="15" spans="1:9" ht="14.45" customHeight="1"/>
    <row r="16" spans="1:9" ht="14.45" customHeight="1"/>
    <row r="17" spans="1:10" ht="14.45" customHeight="1"/>
    <row r="18" spans="1:10" ht="14.45" customHeight="1"/>
    <row r="19" spans="1:10" ht="14.45" customHeight="1">
      <c r="A19" s="413" t="s">
        <v>0</v>
      </c>
      <c r="B19" s="413"/>
      <c r="C19" s="413"/>
      <c r="D19" s="413"/>
      <c r="E19" s="413"/>
      <c r="F19" s="413"/>
      <c r="G19" s="413"/>
      <c r="H19" s="413"/>
      <c r="I19" s="413"/>
      <c r="J19" s="413"/>
    </row>
    <row r="20" spans="1:10" ht="14.45" customHeight="1">
      <c r="A20" s="413"/>
      <c r="B20" s="413"/>
      <c r="C20" s="413"/>
      <c r="D20" s="413"/>
      <c r="E20" s="413"/>
      <c r="F20" s="413"/>
      <c r="G20" s="413"/>
      <c r="H20" s="413"/>
      <c r="I20" s="413"/>
      <c r="J20" s="413"/>
    </row>
    <row r="21" spans="1:10" ht="14.45" customHeight="1">
      <c r="A21" s="413"/>
      <c r="B21" s="413"/>
      <c r="C21" s="413"/>
      <c r="D21" s="413"/>
      <c r="E21" s="413"/>
      <c r="F21" s="413"/>
      <c r="G21" s="413"/>
      <c r="H21" s="413"/>
      <c r="I21" s="413"/>
      <c r="J21" s="413"/>
    </row>
    <row r="22" spans="1:10" ht="14.4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</row>
    <row r="23" spans="1:10" ht="14.4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</row>
    <row r="24" spans="1:10" ht="14.4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</row>
    <row r="25" spans="1:10" ht="14.45" customHeight="1">
      <c r="A25" s="54"/>
      <c r="B25" s="412" t="s">
        <v>1</v>
      </c>
      <c r="C25" s="412"/>
      <c r="D25" s="412"/>
      <c r="E25" s="412"/>
      <c r="F25" s="412"/>
      <c r="G25" s="412"/>
      <c r="H25" s="412"/>
      <c r="I25" s="412"/>
      <c r="J25" s="54"/>
    </row>
    <row r="26" spans="1:10" ht="14.45" customHeight="1">
      <c r="A26" s="54"/>
      <c r="B26" s="412"/>
      <c r="C26" s="412"/>
      <c r="D26" s="412"/>
      <c r="E26" s="412"/>
      <c r="F26" s="412"/>
      <c r="G26" s="412"/>
      <c r="H26" s="412"/>
      <c r="I26" s="412"/>
      <c r="J26" s="54"/>
    </row>
    <row r="27" spans="1:10" ht="14.4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14.4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</row>
    <row r="29" spans="1:10" ht="14.4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</row>
    <row r="30" spans="1:10" ht="14.45" customHeight="1">
      <c r="A30" s="54"/>
      <c r="B30" s="412" t="s">
        <v>299</v>
      </c>
      <c r="C30" s="412"/>
      <c r="D30" s="412"/>
      <c r="E30" s="412"/>
      <c r="F30" s="412"/>
      <c r="G30" s="412"/>
      <c r="H30" s="412"/>
      <c r="I30" s="412"/>
      <c r="J30" s="54"/>
    </row>
    <row r="31" spans="1:10" ht="14.45" customHeight="1">
      <c r="A31" s="54"/>
      <c r="B31" s="412"/>
      <c r="C31" s="412"/>
      <c r="D31" s="412"/>
      <c r="E31" s="412"/>
      <c r="F31" s="412"/>
      <c r="G31" s="412"/>
      <c r="H31" s="412"/>
      <c r="I31" s="412"/>
      <c r="J31" s="54"/>
    </row>
    <row r="32" spans="1:10" ht="14.4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</row>
    <row r="33" spans="1:10" ht="14.4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</row>
    <row r="34" spans="1:10" ht="14.45" customHeight="1"/>
    <row r="35" spans="1:10" ht="14.45" customHeight="1"/>
    <row r="36" spans="1:10" ht="14.45" customHeight="1"/>
    <row r="37" spans="1:10" ht="14.45" customHeight="1"/>
    <row r="38" spans="1:10" ht="14.45" customHeight="1"/>
    <row r="39" spans="1:10" ht="14.45" customHeight="1"/>
    <row r="40" spans="1:10" ht="14.45" customHeight="1">
      <c r="B40" s="414" t="s">
        <v>284</v>
      </c>
      <c r="C40" s="414"/>
      <c r="D40" s="414"/>
      <c r="E40" s="414"/>
      <c r="F40" s="414"/>
      <c r="G40" s="414"/>
      <c r="H40" s="414"/>
      <c r="I40" s="414"/>
    </row>
    <row r="41" spans="1:10" ht="14.45" customHeight="1">
      <c r="B41" s="414"/>
      <c r="C41" s="414"/>
      <c r="D41" s="414"/>
      <c r="E41" s="414"/>
      <c r="F41" s="414"/>
      <c r="G41" s="414"/>
      <c r="H41" s="414"/>
      <c r="I41" s="414"/>
    </row>
    <row r="42" spans="1:10" ht="14.45" customHeight="1"/>
    <row r="43" spans="1:10" ht="14.45" customHeight="1"/>
    <row r="44" spans="1:10" ht="14.45" customHeight="1"/>
    <row r="45" spans="1:10" ht="14.45" customHeight="1"/>
    <row r="46" spans="1:10" ht="14.45" customHeight="1"/>
    <row r="47" spans="1:10" ht="14.45" customHeight="1"/>
    <row r="48" spans="1:10" ht="14.45" customHeight="1"/>
    <row r="49" spans="3:8" ht="14.45" customHeight="1"/>
    <row r="50" spans="3:8" ht="14.45" customHeight="1"/>
    <row r="51" spans="3:8" ht="14.45" customHeight="1">
      <c r="C51" s="411" t="s">
        <v>295</v>
      </c>
      <c r="D51" s="411"/>
      <c r="E51" s="411"/>
      <c r="F51" s="411"/>
      <c r="G51" s="411"/>
      <c r="H51" s="411"/>
    </row>
    <row r="52" spans="3:8" ht="14.45" customHeight="1"/>
    <row r="53" spans="3:8" ht="14.45" customHeight="1"/>
    <row r="54" spans="3:8" ht="14.45" customHeight="1"/>
    <row r="55" spans="3:8" ht="14.45" customHeight="1"/>
    <row r="56" spans="3:8" ht="14.45" customHeight="1"/>
    <row r="57" spans="3:8" ht="14.45" customHeight="1"/>
    <row r="58" spans="3:8" ht="14.45" customHeight="1"/>
    <row r="59" spans="3:8" ht="14.45" customHeight="1"/>
    <row r="60" spans="3:8" ht="14.45" customHeight="1"/>
    <row r="61" spans="3:8" ht="14.45" customHeight="1"/>
    <row r="62" spans="3:8" ht="14.45" customHeight="1"/>
    <row r="63" spans="3:8" ht="14.45" customHeight="1"/>
    <row r="64" spans="3:8" ht="14.45" customHeight="1"/>
    <row r="65" ht="14.45" customHeight="1"/>
    <row r="66" ht="14.45" customHeight="1"/>
    <row r="67" ht="14.45" customHeight="1"/>
    <row r="68" ht="14.45" customHeight="1"/>
    <row r="69" ht="14.45" customHeight="1"/>
    <row r="70" ht="14.45" customHeight="1"/>
    <row r="71" ht="14.45" customHeight="1"/>
    <row r="72" ht="14.45" customHeight="1"/>
    <row r="73" ht="14.45" customHeight="1"/>
    <row r="74" ht="14.45" customHeight="1"/>
    <row r="75" ht="14.45" customHeight="1"/>
    <row r="76" ht="14.45" customHeight="1"/>
    <row r="77" ht="14.45" customHeight="1"/>
    <row r="78" ht="14.45" customHeight="1"/>
    <row r="79" ht="14.45" customHeight="1"/>
    <row r="80" ht="14.45" customHeight="1"/>
    <row r="81" ht="14.45" customHeight="1"/>
    <row r="82" ht="14.45" customHeight="1"/>
    <row r="83" ht="14.45" customHeight="1"/>
    <row r="84" ht="14.45" customHeight="1"/>
    <row r="85" ht="14.45" customHeight="1"/>
    <row r="86" ht="14.45" customHeight="1"/>
    <row r="87" ht="14.45" customHeight="1"/>
    <row r="88" ht="14.45" customHeight="1"/>
    <row r="89" ht="14.45" customHeight="1"/>
    <row r="90" ht="14.45" customHeight="1"/>
    <row r="91" ht="14.45" customHeight="1"/>
    <row r="92" ht="14.45" customHeight="1"/>
    <row r="93" ht="14.45" customHeight="1"/>
    <row r="94" ht="14.45" customHeight="1"/>
    <row r="95" ht="14.45" customHeight="1"/>
    <row r="96" ht="14.45" customHeight="1"/>
    <row r="97" ht="14.45" customHeight="1"/>
    <row r="98" ht="14.45" customHeight="1"/>
    <row r="99" ht="14.45" customHeight="1"/>
    <row r="100" ht="14.45" customHeight="1"/>
    <row r="101" ht="14.45" customHeight="1"/>
    <row r="102" ht="14.45" customHeight="1"/>
    <row r="103" ht="14.45" customHeight="1"/>
    <row r="104" ht="14.45" customHeight="1"/>
    <row r="105" ht="14.45" customHeight="1"/>
    <row r="106" ht="14.45" customHeight="1"/>
    <row r="107" ht="14.45" customHeight="1"/>
    <row r="108" ht="14.45" customHeight="1"/>
    <row r="109" ht="14.45" customHeight="1"/>
    <row r="110" ht="14.45" customHeight="1"/>
    <row r="111" ht="14.45" customHeight="1"/>
    <row r="112" ht="14.45" customHeight="1"/>
    <row r="113" ht="14.45" customHeight="1"/>
    <row r="114" ht="14.45" customHeight="1"/>
    <row r="115" ht="14.45" customHeight="1"/>
    <row r="116" ht="14.45" customHeight="1"/>
    <row r="117" ht="14.45" customHeight="1"/>
    <row r="118" ht="14.45" customHeight="1"/>
    <row r="119" ht="14.45" customHeight="1"/>
    <row r="120" ht="14.45" customHeight="1"/>
    <row r="121" ht="14.45" customHeight="1"/>
    <row r="122" ht="14.45" customHeight="1"/>
    <row r="123" ht="14.45" customHeight="1"/>
    <row r="124" ht="14.45" customHeight="1"/>
    <row r="125" ht="14.45" customHeight="1"/>
    <row r="126" ht="14.45" customHeight="1"/>
    <row r="127" ht="14.45" customHeight="1"/>
    <row r="128" ht="14.45" customHeight="1"/>
    <row r="129" ht="14.45" customHeight="1"/>
    <row r="130" ht="14.45" customHeight="1"/>
    <row r="131" ht="14.45" customHeight="1"/>
    <row r="132" ht="14.45" customHeight="1"/>
    <row r="133" ht="14.45" customHeight="1"/>
    <row r="134" ht="14.45" customHeight="1"/>
    <row r="135" ht="14.45" customHeight="1"/>
    <row r="136" ht="14.45" customHeight="1"/>
    <row r="137" ht="14.45" customHeight="1"/>
    <row r="138" ht="14.45" customHeight="1"/>
    <row r="139" ht="14.45" customHeight="1"/>
    <row r="140" ht="14.45" customHeight="1"/>
    <row r="141" ht="14.45" customHeight="1"/>
    <row r="142" ht="14.45" customHeight="1"/>
    <row r="143" ht="14.45" customHeight="1"/>
    <row r="144" ht="14.45" customHeight="1"/>
  </sheetData>
  <mergeCells count="5">
    <mergeCell ref="C51:H51"/>
    <mergeCell ref="B30:I31"/>
    <mergeCell ref="B25:I26"/>
    <mergeCell ref="A19:J21"/>
    <mergeCell ref="B40:I41"/>
  </mergeCells>
  <conditionalFormatting sqref="B40:I41 C51:H51">
    <cfRule type="containsText" dxfId="14" priority="1" operator="containsText" text="inserir">
      <formula>NOT(ISERROR(SEARCH("inserir",B40)))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94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Planilha10">
    <tabColor theme="8" tint="-0.249977111117893"/>
    <pageSetUpPr fitToPage="1"/>
  </sheetPr>
  <dimension ref="A1:J63"/>
  <sheetViews>
    <sheetView showGridLines="0" view="pageBreakPreview" zoomScale="60" zoomScaleNormal="100" workbookViewId="0">
      <selection activeCell="E10" sqref="E10:E48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2" t="s">
        <v>169</v>
      </c>
      <c r="C1" s="462"/>
      <c r="D1" s="462"/>
      <c r="E1" s="462"/>
      <c r="F1" s="462"/>
      <c r="G1" s="462"/>
      <c r="H1" s="462"/>
    </row>
    <row r="2" spans="1:10" s="89" customFormat="1" ht="15" customHeight="1">
      <c r="A2" s="77" t="s">
        <v>258</v>
      </c>
      <c r="C2" s="394" t="s">
        <v>246</v>
      </c>
      <c r="D2" s="145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5"/>
      <c r="H3" s="98"/>
    </row>
    <row r="4" spans="1:10" s="89" customFormat="1" ht="15" customHeight="1">
      <c r="A4" s="77" t="s">
        <v>135</v>
      </c>
      <c r="C4" s="80" t="str">
        <f>Capa!B30</f>
        <v>Resplendor/MG</v>
      </c>
      <c r="D4" s="145"/>
      <c r="G4" s="87"/>
      <c r="H4" s="86"/>
    </row>
    <row r="5" spans="1:10" ht="6" customHeight="1">
      <c r="A5" s="123"/>
      <c r="B5" s="124"/>
      <c r="C5" s="125"/>
      <c r="D5" s="146"/>
      <c r="E5" s="127"/>
      <c r="F5" s="126"/>
      <c r="G5" s="126"/>
      <c r="H5" s="149"/>
    </row>
    <row r="6" spans="1:10" s="100" customFormat="1" ht="47.45" customHeight="1">
      <c r="A6" s="232" t="s">
        <v>248</v>
      </c>
      <c r="B6" s="233" t="s">
        <v>249</v>
      </c>
      <c r="C6" s="463" t="s">
        <v>250</v>
      </c>
      <c r="D6" s="463"/>
      <c r="E6" s="234" t="s">
        <v>251</v>
      </c>
      <c r="F6" s="235" t="s">
        <v>252</v>
      </c>
      <c r="G6" s="235" t="s">
        <v>253</v>
      </c>
      <c r="H6" s="235" t="s">
        <v>254</v>
      </c>
    </row>
    <row r="7" spans="1:10" s="89" customFormat="1" ht="18" customHeight="1">
      <c r="A7" s="236">
        <v>1</v>
      </c>
      <c r="B7" s="237"/>
      <c r="C7" s="238"/>
      <c r="D7" s="236"/>
      <c r="E7" s="237"/>
      <c r="F7" s="237"/>
      <c r="G7" s="239" t="e">
        <f>G9</f>
        <v>#VALUE!</v>
      </c>
      <c r="H7" s="240" t="e">
        <f>G7/$G$50</f>
        <v>#VALUE!</v>
      </c>
    </row>
    <row r="8" spans="1:10" ht="6" customHeight="1">
      <c r="A8" s="123"/>
      <c r="B8" s="124"/>
      <c r="C8" s="125"/>
      <c r="D8" s="146"/>
      <c r="E8" s="127"/>
      <c r="F8" s="126"/>
      <c r="G8" s="126"/>
      <c r="H8" s="149"/>
    </row>
    <row r="9" spans="1:10" s="89" customFormat="1" ht="18" customHeight="1">
      <c r="A9" s="139" t="s">
        <v>28</v>
      </c>
      <c r="B9" s="140"/>
      <c r="C9" s="141"/>
      <c r="D9" s="139"/>
      <c r="E9" s="140"/>
      <c r="F9" s="140"/>
      <c r="G9" s="251" t="e">
        <f>SUM(G10:G14)</f>
        <v>#VALUE!</v>
      </c>
      <c r="H9" s="255" t="e">
        <f>SUM(H10:H14)</f>
        <v>#VALUE!</v>
      </c>
    </row>
    <row r="10" spans="1:10" s="90" customFormat="1" ht="16.149999999999999" customHeight="1">
      <c r="A10" s="172" t="s">
        <v>179</v>
      </c>
      <c r="B10" s="168" t="str">
        <f>Custos!B13</f>
        <v>Engenheiro Coordenador</v>
      </c>
      <c r="C10" s="169" t="e">
        <f>Custos!G13</f>
        <v>#VALUE!</v>
      </c>
      <c r="D10" s="167" t="s">
        <v>181</v>
      </c>
      <c r="E10" s="268">
        <v>0</v>
      </c>
      <c r="F10" s="169" t="e">
        <f>ROUND(C10*E10,2)</f>
        <v>#VALUE!</v>
      </c>
      <c r="G10" s="169" t="e">
        <f>ROUND((F10*K!$G$22),2)</f>
        <v>#VALUE!</v>
      </c>
      <c r="H10" s="176" t="e">
        <f>G10/$G$50</f>
        <v>#VALUE!</v>
      </c>
      <c r="J10" s="91"/>
    </row>
    <row r="11" spans="1:10" s="90" customFormat="1" ht="16.149999999999999" customHeight="1">
      <c r="A11" s="172" t="s">
        <v>182</v>
      </c>
      <c r="B11" s="168" t="str">
        <f>Custos!B14</f>
        <v>Engenheiro de Projetos Pleno</v>
      </c>
      <c r="C11" s="171" t="e">
        <f>Custos!G14</f>
        <v>#VALUE!</v>
      </c>
      <c r="D11" s="170" t="s">
        <v>181</v>
      </c>
      <c r="E11" s="268">
        <v>5</v>
      </c>
      <c r="F11" s="169" t="e">
        <f>ROUND(C11*E11,2)</f>
        <v>#VALUE!</v>
      </c>
      <c r="G11" s="169" t="e">
        <f>ROUND((F11*K!$G$22),2)</f>
        <v>#VALUE!</v>
      </c>
      <c r="H11" s="176" t="e">
        <f>G11/$G$50</f>
        <v>#VALUE!</v>
      </c>
      <c r="J11" s="91"/>
    </row>
    <row r="12" spans="1:10" s="90" customFormat="1" ht="16.149999999999999" customHeight="1">
      <c r="A12" s="172" t="s">
        <v>184</v>
      </c>
      <c r="B12" s="168" t="str">
        <f>Custos!B15</f>
        <v>Engenheiro de Projetos Júnior</v>
      </c>
      <c r="C12" s="171" t="e">
        <f>Custos!G15</f>
        <v>#VALUE!</v>
      </c>
      <c r="D12" s="170" t="s">
        <v>181</v>
      </c>
      <c r="E12" s="268">
        <v>5</v>
      </c>
      <c r="F12" s="169" t="e">
        <f>ROUND(C12*E12,2)</f>
        <v>#VALUE!</v>
      </c>
      <c r="G12" s="169" t="e">
        <f>ROUND((F12*K!$G$22),2)</f>
        <v>#VALUE!</v>
      </c>
      <c r="H12" s="176" t="e">
        <f>G12/$G$50</f>
        <v>#VALUE!</v>
      </c>
      <c r="J12" s="91"/>
    </row>
    <row r="13" spans="1:10" s="90" customFormat="1" ht="16.149999999999999" customHeight="1">
      <c r="A13" s="172" t="s">
        <v>186</v>
      </c>
      <c r="B13" s="168" t="str">
        <f>Custos!B16</f>
        <v>Técnico cadista</v>
      </c>
      <c r="C13" s="171" t="e">
        <f>Custos!G16</f>
        <v>#VALUE!</v>
      </c>
      <c r="D13" s="170" t="s">
        <v>181</v>
      </c>
      <c r="E13" s="268">
        <v>10</v>
      </c>
      <c r="F13" s="169" t="e">
        <f>ROUND(C13*E13,2)</f>
        <v>#VALUE!</v>
      </c>
      <c r="G13" s="169" t="e">
        <f>ROUND((F13*K!$G$22),2)</f>
        <v>#VALUE!</v>
      </c>
      <c r="H13" s="176" t="e">
        <f>G13/$G$50</f>
        <v>#VALUE!</v>
      </c>
      <c r="J13" s="91"/>
    </row>
    <row r="14" spans="1:10" s="90" customFormat="1" ht="16.149999999999999" customHeight="1">
      <c r="A14" s="172" t="s">
        <v>188</v>
      </c>
      <c r="B14" s="168" t="str">
        <f>Custos!B17</f>
        <v>Auxiliar Administrativo</v>
      </c>
      <c r="C14" s="171" t="e">
        <f>Custos!G17</f>
        <v>#VALUE!</v>
      </c>
      <c r="D14" s="170" t="s">
        <v>181</v>
      </c>
      <c r="E14" s="268">
        <v>30</v>
      </c>
      <c r="F14" s="169" t="e">
        <f>ROUND(C14*E14,2)</f>
        <v>#VALUE!</v>
      </c>
      <c r="G14" s="169" t="e">
        <f>ROUND((F14*K!$G$22),2)</f>
        <v>#VALUE!</v>
      </c>
      <c r="H14" s="176" t="e">
        <f>G14/$G$50</f>
        <v>#VALUE!</v>
      </c>
      <c r="J14" s="91"/>
    </row>
    <row r="15" spans="1:10" ht="6" customHeight="1">
      <c r="A15" s="123"/>
      <c r="B15" s="124"/>
      <c r="C15" s="125"/>
      <c r="D15" s="146"/>
      <c r="E15" s="289"/>
      <c r="F15" s="126"/>
      <c r="G15" s="126"/>
      <c r="H15" s="149"/>
    </row>
    <row r="16" spans="1:10" s="89" customFormat="1" ht="18" customHeight="1">
      <c r="A16" s="236">
        <v>2</v>
      </c>
      <c r="B16" s="237"/>
      <c r="C16" s="238"/>
      <c r="D16" s="236"/>
      <c r="E16" s="291"/>
      <c r="F16" s="237"/>
      <c r="G16" s="239" t="e">
        <f>G18</f>
        <v>#VALUE!</v>
      </c>
      <c r="H16" s="240" t="e">
        <f>G16/$G$50</f>
        <v>#VALUE!</v>
      </c>
    </row>
    <row r="17" spans="1:10" ht="5.0999999999999996" customHeight="1">
      <c r="A17" s="129"/>
      <c r="B17" s="131"/>
      <c r="C17" s="128"/>
      <c r="D17" s="122"/>
      <c r="E17" s="293"/>
      <c r="F17" s="122"/>
      <c r="G17" s="122"/>
      <c r="H17" s="148"/>
    </row>
    <row r="18" spans="1:10" s="89" customFormat="1" ht="18" customHeight="1">
      <c r="A18" s="241" t="s">
        <v>46</v>
      </c>
      <c r="B18" s="242"/>
      <c r="C18" s="243"/>
      <c r="D18" s="241"/>
      <c r="E18" s="294"/>
      <c r="F18" s="243"/>
      <c r="G18" s="244" t="e">
        <f>SUM(G19:G24)</f>
        <v>#VALUE!</v>
      </c>
      <c r="H18" s="256" t="e">
        <f>SUM(H19:H24)</f>
        <v>#VALUE!</v>
      </c>
    </row>
    <row r="19" spans="1:10" s="90" customFormat="1" ht="16.149999999999999" customHeight="1">
      <c r="A19" s="172" t="s">
        <v>179</v>
      </c>
      <c r="B19" s="168" t="str">
        <f>Custos!B22</f>
        <v>Advogado sênior</v>
      </c>
      <c r="C19" s="169" t="e">
        <f>Custos!G22</f>
        <v>#VALUE!</v>
      </c>
      <c r="D19" s="167" t="s">
        <v>181</v>
      </c>
      <c r="E19" s="268">
        <v>0</v>
      </c>
      <c r="F19" s="169" t="e">
        <f t="shared" ref="F19:F24" si="0">ROUND(C19*E19,2)</f>
        <v>#VALUE!</v>
      </c>
      <c r="G19" s="169" t="e">
        <f>ROUND((F19*K!$G$23),2)</f>
        <v>#VALUE!</v>
      </c>
      <c r="H19" s="175" t="e">
        <f t="shared" ref="H19:H24" si="1">G19/$G$50</f>
        <v>#VALUE!</v>
      </c>
    </row>
    <row r="20" spans="1:10" s="90" customFormat="1" ht="16.149999999999999" customHeight="1">
      <c r="A20" s="172" t="s">
        <v>182</v>
      </c>
      <c r="B20" s="168" t="str">
        <f>Custos!B23</f>
        <v>Engenheiro de Projetos (Elétrico)</v>
      </c>
      <c r="C20" s="169" t="e">
        <f>Custos!G23</f>
        <v>#VALUE!</v>
      </c>
      <c r="D20" s="167" t="s">
        <v>181</v>
      </c>
      <c r="E20" s="268">
        <v>0</v>
      </c>
      <c r="F20" s="169" t="e">
        <f t="shared" si="0"/>
        <v>#VALUE!</v>
      </c>
      <c r="G20" s="169" t="e">
        <f>ROUND((F20*K!$G$23),2)</f>
        <v>#VALUE!</v>
      </c>
      <c r="H20" s="175" t="e">
        <f t="shared" si="1"/>
        <v>#VALUE!</v>
      </c>
    </row>
    <row r="21" spans="1:10" s="90" customFormat="1" ht="16.149999999999999" customHeight="1">
      <c r="A21" s="172" t="s">
        <v>184</v>
      </c>
      <c r="B21" s="168" t="str">
        <f>Custos!B24</f>
        <v>Engenheiro de Projeto (Calculista)</v>
      </c>
      <c r="C21" s="169" t="e">
        <f>Custos!G24</f>
        <v>#VALUE!</v>
      </c>
      <c r="D21" s="167" t="s">
        <v>181</v>
      </c>
      <c r="E21" s="268">
        <v>0</v>
      </c>
      <c r="F21" s="169" t="e">
        <f t="shared" si="0"/>
        <v>#VALUE!</v>
      </c>
      <c r="G21" s="169" t="e">
        <f>ROUND((F21*K!$G$23),2)</f>
        <v>#VALUE!</v>
      </c>
      <c r="H21" s="175" t="e">
        <f t="shared" si="1"/>
        <v>#VALUE!</v>
      </c>
    </row>
    <row r="22" spans="1:10" s="90" customFormat="1" ht="16.149999999999999" customHeight="1">
      <c r="A22" s="172" t="s">
        <v>186</v>
      </c>
      <c r="B22" s="168" t="str">
        <f>Custos!B25</f>
        <v>Engenheiro de Projetos (Mecânico)</v>
      </c>
      <c r="C22" s="169" t="e">
        <f>Custos!G25</f>
        <v>#VALUE!</v>
      </c>
      <c r="D22" s="167" t="s">
        <v>181</v>
      </c>
      <c r="E22" s="268">
        <v>0</v>
      </c>
      <c r="F22" s="169" t="e">
        <f t="shared" si="0"/>
        <v>#VALUE!</v>
      </c>
      <c r="G22" s="169" t="e">
        <f>ROUND((F22*K!$G$23),2)</f>
        <v>#VALUE!</v>
      </c>
      <c r="H22" s="175" t="e">
        <f t="shared" si="1"/>
        <v>#VALUE!</v>
      </c>
    </row>
    <row r="23" spans="1:10" s="90" customFormat="1" ht="16.149999999999999" customHeight="1">
      <c r="A23" s="172" t="s">
        <v>188</v>
      </c>
      <c r="B23" s="168" t="str">
        <f>Custos!B26</f>
        <v>Engenheiro ambiental</v>
      </c>
      <c r="C23" s="169" t="e">
        <f>Custos!G26</f>
        <v>#VALUE!</v>
      </c>
      <c r="D23" s="167" t="s">
        <v>181</v>
      </c>
      <c r="E23" s="268">
        <v>0</v>
      </c>
      <c r="F23" s="169" t="e">
        <f t="shared" si="0"/>
        <v>#VALUE!</v>
      </c>
      <c r="G23" s="169" t="e">
        <f>ROUND((F23*K!$G$23),2)</f>
        <v>#VALUE!</v>
      </c>
      <c r="H23" s="175" t="e">
        <f t="shared" si="1"/>
        <v>#VALUE!</v>
      </c>
    </row>
    <row r="24" spans="1:10" s="90" customFormat="1" ht="16.149999999999999" customHeight="1">
      <c r="A24" s="172" t="s">
        <v>197</v>
      </c>
      <c r="B24" s="168" t="str">
        <f>Custos!B27</f>
        <v>Técnico em geoprocessamento</v>
      </c>
      <c r="C24" s="169" t="e">
        <f>Custos!G27</f>
        <v>#VALUE!</v>
      </c>
      <c r="D24" s="167" t="s">
        <v>181</v>
      </c>
      <c r="E24" s="268">
        <v>100</v>
      </c>
      <c r="F24" s="169" t="e">
        <f t="shared" si="0"/>
        <v>#VALUE!</v>
      </c>
      <c r="G24" s="169" t="e">
        <f>ROUND((F24*K!$G$23),2)</f>
        <v>#VALUE!</v>
      </c>
      <c r="H24" s="175" t="e">
        <f t="shared" si="1"/>
        <v>#VALUE!</v>
      </c>
      <c r="J24" s="91"/>
    </row>
    <row r="25" spans="1:10" ht="6" customHeight="1">
      <c r="A25" s="123"/>
      <c r="B25" s="124"/>
      <c r="C25" s="125"/>
      <c r="D25" s="146"/>
      <c r="E25" s="289"/>
      <c r="F25" s="126"/>
      <c r="G25" s="126"/>
      <c r="H25" s="149"/>
    </row>
    <row r="26" spans="1:10" s="89" customFormat="1" ht="18" customHeight="1">
      <c r="A26" s="245">
        <v>3</v>
      </c>
      <c r="B26" s="143"/>
      <c r="C26" s="144"/>
      <c r="D26" s="142"/>
      <c r="E26" s="295"/>
      <c r="F26" s="143"/>
      <c r="G26" s="250" t="e">
        <f>G28+G33+G39</f>
        <v>#VALUE!</v>
      </c>
      <c r="H26" s="240" t="e">
        <f>G26/$G$50</f>
        <v>#VALUE!</v>
      </c>
    </row>
    <row r="27" spans="1:10" ht="5.0999999999999996" customHeight="1">
      <c r="A27" s="129"/>
      <c r="B27" s="131"/>
      <c r="C27" s="128"/>
      <c r="D27" s="122"/>
      <c r="E27" s="293"/>
      <c r="F27" s="122"/>
      <c r="G27" s="122"/>
      <c r="H27" s="148"/>
    </row>
    <row r="28" spans="1:10" s="89" customFormat="1" ht="18" customHeight="1">
      <c r="A28" s="139" t="s">
        <v>58</v>
      </c>
      <c r="B28" s="140"/>
      <c r="C28" s="141"/>
      <c r="D28" s="139"/>
      <c r="E28" s="292"/>
      <c r="F28" s="140"/>
      <c r="G28" s="251" t="e">
        <f>SUM(G29:G31)</f>
        <v>#VALUE!</v>
      </c>
      <c r="H28" s="255" t="e">
        <f>SUM(H29:H31)</f>
        <v>#VALUE!</v>
      </c>
    </row>
    <row r="29" spans="1:10" s="90" customFormat="1">
      <c r="A29" s="172" t="s">
        <v>179</v>
      </c>
      <c r="B29" s="264" t="str">
        <f>Custos!B38</f>
        <v>Mobilização e desmobilização de equipe de topografia</v>
      </c>
      <c r="C29" s="174" t="str">
        <f>Custos!G38</f>
        <v>preencher</v>
      </c>
      <c r="D29" s="212" t="str">
        <f>Custos!E38</f>
        <v>km</v>
      </c>
      <c r="E29" s="407">
        <v>0</v>
      </c>
      <c r="F29" s="169" t="e">
        <f>ROUND(C29*E29,2)</f>
        <v>#VALUE!</v>
      </c>
      <c r="G29" s="169" t="e">
        <f>ROUND((F29*K!$G$24),2)</f>
        <v>#VALUE!</v>
      </c>
      <c r="H29" s="176" t="e">
        <f>G29/$G$50</f>
        <v>#VALUE!</v>
      </c>
    </row>
    <row r="30" spans="1:10" s="90" customFormat="1">
      <c r="A30" s="172" t="s">
        <v>182</v>
      </c>
      <c r="B30" s="264" t="str">
        <f>Custos!B39</f>
        <v>Equipe de topografia de campo</v>
      </c>
      <c r="C30" s="174" t="str">
        <f>Custos!G39</f>
        <v>preencher</v>
      </c>
      <c r="D30" s="212" t="str">
        <f>Custos!E39</f>
        <v>mês</v>
      </c>
      <c r="E30" s="407">
        <v>0</v>
      </c>
      <c r="F30" s="169" t="e">
        <f>ROUND(C30*E30,2)</f>
        <v>#VALUE!</v>
      </c>
      <c r="G30" s="169" t="e">
        <f>ROUND((F30*K!$G$24),2)</f>
        <v>#VALUE!</v>
      </c>
      <c r="H30" s="176" t="e">
        <f>G30/$G$50</f>
        <v>#VALUE!</v>
      </c>
    </row>
    <row r="31" spans="1:10" s="90" customFormat="1">
      <c r="A31" s="172" t="s">
        <v>184</v>
      </c>
      <c r="B31" s="264" t="str">
        <f>Custos!B40</f>
        <v>Equipe de topografia de escritório</v>
      </c>
      <c r="C31" s="174" t="str">
        <f>Custos!G40</f>
        <v>preencher</v>
      </c>
      <c r="D31" s="212" t="str">
        <f>Custos!E40</f>
        <v>mês</v>
      </c>
      <c r="E31" s="407">
        <v>0</v>
      </c>
      <c r="F31" s="169" t="e">
        <f>ROUND(C31*E31,2)</f>
        <v>#VALUE!</v>
      </c>
      <c r="G31" s="169" t="e">
        <f>ROUND((F31*K!$G$24),2)</f>
        <v>#VALUE!</v>
      </c>
      <c r="H31" s="176" t="e">
        <f>G31/$G$50</f>
        <v>#VALUE!</v>
      </c>
    </row>
    <row r="32" spans="1:10" ht="10.5" customHeight="1">
      <c r="A32" s="129"/>
      <c r="B32" s="131"/>
      <c r="C32" s="128"/>
      <c r="D32" s="212"/>
      <c r="E32" s="293"/>
      <c r="F32" s="122"/>
      <c r="G32" s="122"/>
      <c r="H32" s="148"/>
    </row>
    <row r="33" spans="1:8" s="89" customFormat="1" ht="18" customHeight="1">
      <c r="A33" s="119" t="s">
        <v>59</v>
      </c>
      <c r="B33" s="132"/>
      <c r="C33" s="121"/>
      <c r="D33" s="119"/>
      <c r="E33" s="296"/>
      <c r="F33" s="120"/>
      <c r="G33" s="133" t="e">
        <f>SUM(G35:G36)</f>
        <v>#VALUE!</v>
      </c>
      <c r="H33" s="254" t="e">
        <f>SUM(H35:H36)</f>
        <v>#VALUE!</v>
      </c>
    </row>
    <row r="34" spans="1:8" s="90" customFormat="1">
      <c r="A34" s="172" t="s">
        <v>179</v>
      </c>
      <c r="B34" s="264" t="str">
        <f>Custos!B32</f>
        <v>Sondagem a percussao - mobilizacao e desmobilizacao</v>
      </c>
      <c r="C34" s="174" t="str">
        <f>Custos!G32</f>
        <v>preencher</v>
      </c>
      <c r="D34" s="212" t="str">
        <f>Custos!E32</f>
        <v>unidade</v>
      </c>
      <c r="E34" s="407">
        <v>0</v>
      </c>
      <c r="F34" s="169" t="e">
        <f>ROUND(C34*E34,2)</f>
        <v>#VALUE!</v>
      </c>
      <c r="G34" s="169" t="e">
        <f>ROUND((F34*K!$G$24),2)</f>
        <v>#VALUE!</v>
      </c>
      <c r="H34" s="176" t="e">
        <f>G34/$G$50</f>
        <v>#VALUE!</v>
      </c>
    </row>
    <row r="35" spans="1:8" s="90" customFormat="1" ht="26.45" customHeight="1">
      <c r="A35" s="172" t="s">
        <v>182</v>
      </c>
      <c r="B35" s="277" t="str">
        <f>Custos!B33</f>
        <v>Sondagem a percussao - adicional de mobilizacao e desmobilizacao</v>
      </c>
      <c r="C35" s="174" t="str">
        <f>Custos!G33</f>
        <v>preencher</v>
      </c>
      <c r="D35" s="265" t="str">
        <f>Custos!E33</f>
        <v>km</v>
      </c>
      <c r="E35" s="407">
        <v>0</v>
      </c>
      <c r="F35" s="169" t="e">
        <f>ROUND(C35*E35,2)</f>
        <v>#VALUE!</v>
      </c>
      <c r="G35" s="169" t="e">
        <f>ROUND((F35*K!$G$24),2)</f>
        <v>#VALUE!</v>
      </c>
      <c r="H35" s="175" t="e">
        <f>G35/$G$50</f>
        <v>#VALUE!</v>
      </c>
    </row>
    <row r="36" spans="1:8" s="90" customFormat="1">
      <c r="A36" s="172" t="s">
        <v>184</v>
      </c>
      <c r="B36" s="264" t="str">
        <f>Custos!B34</f>
        <v>Sondagem a percussao - instalacao por furo</v>
      </c>
      <c r="C36" s="174" t="str">
        <f>Custos!G34</f>
        <v>preencher</v>
      </c>
      <c r="D36" s="212" t="str">
        <f>Custos!E34</f>
        <v>unidade</v>
      </c>
      <c r="E36" s="407">
        <v>0</v>
      </c>
      <c r="F36" s="169" t="e">
        <f>ROUND(C36*E36,2)</f>
        <v>#VALUE!</v>
      </c>
      <c r="G36" s="169" t="e">
        <f>ROUND((F36*K!$G$24),2)</f>
        <v>#VALUE!</v>
      </c>
      <c r="H36" s="176" t="e">
        <f>G36/$G$50</f>
        <v>#VALUE!</v>
      </c>
    </row>
    <row r="37" spans="1:8" s="90" customFormat="1" ht="26.45" customHeight="1">
      <c r="A37" s="172" t="s">
        <v>186</v>
      </c>
      <c r="B37" s="277" t="str">
        <f>Custos!B35</f>
        <v>Sondagem a percussao ø2.1/2" - perfuracao e retirada de amostras</v>
      </c>
      <c r="C37" s="174" t="str">
        <f>Custos!G35</f>
        <v>preencher</v>
      </c>
      <c r="D37" s="265" t="str">
        <f>Custos!E35</f>
        <v>m</v>
      </c>
      <c r="E37" s="407">
        <v>0</v>
      </c>
      <c r="F37" s="169" t="e">
        <f>ROUND(C37*E37,2)</f>
        <v>#VALUE!</v>
      </c>
      <c r="G37" s="169" t="e">
        <f>ROUND((F37*K!$G$24),2)</f>
        <v>#VALUE!</v>
      </c>
      <c r="H37" s="176" t="e">
        <f>G37/$G$50</f>
        <v>#VALUE!</v>
      </c>
    </row>
    <row r="38" spans="1:8" ht="6" customHeight="1">
      <c r="A38" s="123"/>
      <c r="B38" s="124"/>
      <c r="C38" s="125"/>
      <c r="D38" s="146"/>
      <c r="E38" s="289"/>
      <c r="F38" s="126"/>
      <c r="G38" s="126"/>
      <c r="H38" s="149"/>
    </row>
    <row r="39" spans="1:8" s="89" customFormat="1" ht="18" customHeight="1">
      <c r="A39" s="119" t="s">
        <v>60</v>
      </c>
      <c r="B39" s="132"/>
      <c r="C39" s="121"/>
      <c r="D39" s="119"/>
      <c r="E39" s="296"/>
      <c r="F39" s="120"/>
      <c r="G39" s="133" t="e">
        <f>SUM(G40:G41)</f>
        <v>#VALUE!</v>
      </c>
      <c r="H39" s="254" t="e">
        <f>SUM(H40:H41)</f>
        <v>#VALUE!</v>
      </c>
    </row>
    <row r="40" spans="1:8" s="90" customFormat="1">
      <c r="A40" s="172" t="s">
        <v>179</v>
      </c>
      <c r="B40" s="264" t="str">
        <f>Custos!B43</f>
        <v>Equipe de topografia de campo</v>
      </c>
      <c r="C40" s="174" t="str">
        <f>Custos!G43</f>
        <v>preencher</v>
      </c>
      <c r="D40" s="212" t="str">
        <f>Custos!E43</f>
        <v>mês</v>
      </c>
      <c r="E40" s="407">
        <v>0.1</v>
      </c>
      <c r="F40" s="169" t="e">
        <f>ROUND(C40*E40,2)</f>
        <v>#VALUE!</v>
      </c>
      <c r="G40" s="169" t="e">
        <f>ROUND((F40*K!$G$24),2)</f>
        <v>#VALUE!</v>
      </c>
      <c r="H40" s="176" t="e">
        <f>G40/$G$50</f>
        <v>#VALUE!</v>
      </c>
    </row>
    <row r="41" spans="1:8" s="90" customFormat="1">
      <c r="A41" s="172" t="s">
        <v>182</v>
      </c>
      <c r="B41" s="264" t="str">
        <f>Custos!B44</f>
        <v>Equipe de topografia de escritório</v>
      </c>
      <c r="C41" s="174" t="str">
        <f>Custos!G44</f>
        <v>preencher</v>
      </c>
      <c r="D41" s="212" t="str">
        <f>Custos!E44</f>
        <v>mês</v>
      </c>
      <c r="E41" s="407">
        <v>0.1</v>
      </c>
      <c r="F41" s="169" t="e">
        <f>ROUND(C41*E41,2)</f>
        <v>#VALUE!</v>
      </c>
      <c r="G41" s="169" t="e">
        <f>ROUND((F41*K!$G$24),2)</f>
        <v>#VALUE!</v>
      </c>
      <c r="H41" s="176" t="e">
        <f>G41/$G$50</f>
        <v>#VALUE!</v>
      </c>
    </row>
    <row r="42" spans="1:8" ht="5.0999999999999996" customHeight="1">
      <c r="A42" s="172"/>
      <c r="B42" s="134"/>
      <c r="C42" s="128"/>
      <c r="D42" s="167"/>
      <c r="E42" s="293"/>
      <c r="F42" s="122"/>
      <c r="G42" s="122"/>
      <c r="H42" s="148"/>
    </row>
    <row r="43" spans="1:8" s="89" customFormat="1" ht="18" customHeight="1">
      <c r="A43" s="245" t="s">
        <v>255</v>
      </c>
      <c r="B43" s="143"/>
      <c r="C43" s="144"/>
      <c r="D43" s="142"/>
      <c r="E43" s="295"/>
      <c r="F43" s="143"/>
      <c r="G43" s="250" t="e">
        <f>G45</f>
        <v>#VALUE!</v>
      </c>
      <c r="H43" s="240" t="e">
        <f>G43/$G$50</f>
        <v>#VALUE!</v>
      </c>
    </row>
    <row r="44" spans="1:8" ht="5.0999999999999996" customHeight="1">
      <c r="A44" s="246"/>
      <c r="B44" s="134"/>
      <c r="C44" s="128"/>
      <c r="D44" s="122"/>
      <c r="E44" s="293"/>
      <c r="F44" s="122"/>
      <c r="G44" s="122"/>
      <c r="H44" s="148"/>
    </row>
    <row r="45" spans="1:8" s="89" customFormat="1" ht="18" customHeight="1">
      <c r="A45" s="119" t="s">
        <v>71</v>
      </c>
      <c r="B45" s="120"/>
      <c r="C45" s="121"/>
      <c r="D45" s="119"/>
      <c r="E45" s="296"/>
      <c r="F45" s="120"/>
      <c r="G45" s="138" t="e">
        <f>SUM(G46:G48)</f>
        <v>#VALUE!</v>
      </c>
      <c r="H45" s="253" t="e">
        <f>SUM(H46:H48)</f>
        <v>#VALUE!</v>
      </c>
    </row>
    <row r="46" spans="1:8" s="90" customFormat="1">
      <c r="A46" s="172" t="s">
        <v>179</v>
      </c>
      <c r="B46" s="173" t="str">
        <f>Custos!B49</f>
        <v>Veículo tipo pick-up 4X4</v>
      </c>
      <c r="C46" s="174" t="e">
        <f>'P1'!C46</f>
        <v>#VALUE!</v>
      </c>
      <c r="D46" s="212" t="str">
        <f>'P1'!D46</f>
        <v>R$/dia</v>
      </c>
      <c r="E46" s="407">
        <v>0</v>
      </c>
      <c r="F46" s="169" t="e">
        <f>ROUND(C46*E46,2)</f>
        <v>#VALUE!</v>
      </c>
      <c r="G46" s="169" t="e">
        <f>ROUND((F46*K!$G$25),2)</f>
        <v>#VALUE!</v>
      </c>
      <c r="H46" s="176" t="e">
        <f>G46/$G$50</f>
        <v>#VALUE!</v>
      </c>
    </row>
    <row r="47" spans="1:8" s="90" customFormat="1" ht="16.149999999999999" customHeight="1">
      <c r="A47" s="172" t="s">
        <v>182</v>
      </c>
      <c r="B47" s="173" t="str">
        <f>Custos!B50</f>
        <v>Refeições</v>
      </c>
      <c r="C47" s="174" t="str">
        <f>'P1'!C47</f>
        <v>preencher</v>
      </c>
      <c r="D47" s="212" t="str">
        <f>'P1'!D47</f>
        <v>unidade</v>
      </c>
      <c r="E47" s="407">
        <v>0</v>
      </c>
      <c r="F47" s="169" t="e">
        <f>ROUND(C47*E47,2)</f>
        <v>#VALUE!</v>
      </c>
      <c r="G47" s="169" t="e">
        <f>ROUND((F47*K!$G$25),2)</f>
        <v>#VALUE!</v>
      </c>
      <c r="H47" s="176" t="e">
        <f>G47/$G$50</f>
        <v>#VALUE!</v>
      </c>
    </row>
    <row r="48" spans="1:8" s="90" customFormat="1" ht="16.149999999999999" customHeight="1">
      <c r="A48" s="172" t="s">
        <v>184</v>
      </c>
      <c r="B48" s="173" t="str">
        <f>Custos!B51</f>
        <v>Diárias</v>
      </c>
      <c r="C48" s="174" t="str">
        <f>'P1'!C48</f>
        <v>preencher</v>
      </c>
      <c r="D48" s="212" t="str">
        <f>'P1'!D48</f>
        <v>unidade</v>
      </c>
      <c r="E48" s="407">
        <v>0</v>
      </c>
      <c r="F48" s="169" t="e">
        <f>ROUND(C48*E48,2)</f>
        <v>#VALUE!</v>
      </c>
      <c r="G48" s="169" t="e">
        <f>ROUND((F48*K!$G$25),2)</f>
        <v>#VALUE!</v>
      </c>
      <c r="H48" s="176" t="e">
        <f>G48/$G$50</f>
        <v>#VALUE!</v>
      </c>
    </row>
    <row r="49" spans="1:9" ht="6" customHeight="1">
      <c r="A49" s="117"/>
      <c r="B49" s="135"/>
      <c r="C49" s="136"/>
      <c r="D49" s="146"/>
      <c r="E49" s="126"/>
      <c r="F49" s="126"/>
      <c r="G49" s="137"/>
      <c r="H49" s="150"/>
    </row>
    <row r="50" spans="1:9" ht="18" customHeight="1">
      <c r="A50" s="464" t="s">
        <v>256</v>
      </c>
      <c r="B50" s="464"/>
      <c r="C50" s="247"/>
      <c r="D50" s="248"/>
      <c r="E50" s="249"/>
      <c r="F50" s="247" t="s">
        <v>237</v>
      </c>
      <c r="G50" s="247" t="e">
        <f>ROUND((G7+G16+G26+G43),2)</f>
        <v>#VALUE!</v>
      </c>
      <c r="H50" s="252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0"/>
    </row>
    <row r="52" spans="1:9" ht="20.100000000000001" customHeight="1">
      <c r="A52" s="465" t="s">
        <v>286</v>
      </c>
      <c r="B52" s="465"/>
      <c r="C52" s="465"/>
      <c r="D52" s="465"/>
      <c r="E52" s="465"/>
      <c r="F52" s="465"/>
      <c r="G52" s="465"/>
      <c r="H52" s="465"/>
    </row>
    <row r="53" spans="1:9" ht="13.15" customHeight="1">
      <c r="A53" s="465" t="s">
        <v>287</v>
      </c>
      <c r="B53" s="465"/>
      <c r="C53" s="465"/>
      <c r="D53" s="465"/>
      <c r="E53" s="465"/>
      <c r="F53" s="465"/>
      <c r="G53" s="465"/>
      <c r="H53" s="465"/>
    </row>
    <row r="54" spans="1:9" ht="13.15" customHeight="1">
      <c r="A54" s="465" t="s">
        <v>288</v>
      </c>
      <c r="B54" s="465"/>
      <c r="C54" s="465"/>
      <c r="D54" s="465"/>
      <c r="E54" s="465"/>
      <c r="F54" s="465"/>
      <c r="G54" s="465"/>
      <c r="H54" s="465"/>
    </row>
    <row r="55" spans="1:9" ht="13.15" customHeight="1">
      <c r="A55" s="118"/>
      <c r="B55" s="461"/>
      <c r="C55" s="461"/>
      <c r="D55" s="461"/>
      <c r="E55" s="461"/>
      <c r="F55" s="461"/>
      <c r="G55" s="461"/>
      <c r="H55" s="461"/>
    </row>
    <row r="56" spans="1:9" ht="13.15" customHeight="1">
      <c r="A56" s="118"/>
      <c r="B56" s="225"/>
      <c r="C56" s="225"/>
      <c r="D56" s="225"/>
      <c r="E56" s="225"/>
      <c r="F56" s="225"/>
      <c r="G56" s="225"/>
      <c r="H56" s="225"/>
    </row>
    <row r="57" spans="1:9" ht="13.15" customHeight="1">
      <c r="A57" s="459"/>
      <c r="B57" s="459"/>
      <c r="C57" s="459"/>
      <c r="D57" s="459"/>
      <c r="E57" s="459"/>
      <c r="F57" s="459"/>
      <c r="G57" s="225"/>
      <c r="H57" s="225"/>
    </row>
    <row r="58" spans="1:9" ht="13.15" customHeight="1">
      <c r="A58" s="460"/>
      <c r="B58" s="460"/>
      <c r="C58" s="460"/>
      <c r="D58" s="460"/>
      <c r="E58" s="460"/>
      <c r="F58" s="460"/>
      <c r="G58" s="225"/>
      <c r="H58" s="225"/>
    </row>
    <row r="59" spans="1:9" ht="13.15" customHeight="1">
      <c r="A59" s="460"/>
      <c r="B59" s="460"/>
      <c r="C59" s="460"/>
      <c r="D59" s="460"/>
      <c r="E59" s="460"/>
      <c r="F59" s="460"/>
      <c r="G59" s="225"/>
      <c r="H59" s="225"/>
    </row>
    <row r="60" spans="1:9">
      <c r="A60" s="331"/>
      <c r="B60" s="97"/>
      <c r="D60" s="97"/>
      <c r="E60" s="97"/>
      <c r="I60"/>
    </row>
    <row r="61" spans="1:9" ht="15" customHeight="1">
      <c r="A61" s="459"/>
      <c r="B61" s="459"/>
      <c r="C61" s="459"/>
      <c r="D61" s="459"/>
      <c r="E61" s="459"/>
      <c r="F61" s="459"/>
      <c r="G61" s="271"/>
      <c r="H61" s="258"/>
      <c r="I61"/>
    </row>
    <row r="62" spans="1:9" ht="15" customHeight="1">
      <c r="A62" s="460"/>
      <c r="B62" s="460"/>
      <c r="C62" s="460"/>
      <c r="D62" s="460"/>
      <c r="E62" s="460"/>
      <c r="F62" s="460"/>
      <c r="G62" s="257"/>
      <c r="H62" s="258"/>
    </row>
    <row r="63" spans="1:9" ht="15" customHeight="1">
      <c r="A63" s="460"/>
      <c r="B63" s="460"/>
      <c r="C63" s="460"/>
      <c r="D63" s="460"/>
      <c r="E63" s="460"/>
      <c r="F63" s="460"/>
      <c r="G63" s="126"/>
      <c r="H63" s="259"/>
      <c r="I63" s="89"/>
    </row>
  </sheetData>
  <sheetProtection algorithmName="SHA-512" hashValue="jmzJjniXNiET65cGnDBPvqfSwswX8tADf5fae3eYFpCKJBAVkeVSfncZAS8duklITJj20MGg3tqr4kWNWkBirw==" saltValue="S4vsy5T0Q3o53GytQ6YYYQ==" spinCount="100000" sheet="1" objects="1" scenarios="1"/>
  <mergeCells count="19">
    <mergeCell ref="A54:H54"/>
    <mergeCell ref="B1:H1"/>
    <mergeCell ref="C6:D6"/>
    <mergeCell ref="A50:B50"/>
    <mergeCell ref="A52:H52"/>
    <mergeCell ref="A53:H53"/>
    <mergeCell ref="A61:B61"/>
    <mergeCell ref="A62:B62"/>
    <mergeCell ref="A63:B63"/>
    <mergeCell ref="B55:H55"/>
    <mergeCell ref="C57:F57"/>
    <mergeCell ref="C58:F58"/>
    <mergeCell ref="C59:F59"/>
    <mergeCell ref="C61:F61"/>
    <mergeCell ref="C62:F62"/>
    <mergeCell ref="C63:F63"/>
    <mergeCell ref="A57:B57"/>
    <mergeCell ref="A58:B58"/>
    <mergeCell ref="A59:B59"/>
  </mergeCells>
  <conditionalFormatting sqref="A52:H54">
    <cfRule type="containsText" dxfId="8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Planilha11">
    <tabColor theme="8" tint="-0.249977111117893"/>
    <pageSetUpPr fitToPage="1"/>
  </sheetPr>
  <dimension ref="A1:J63"/>
  <sheetViews>
    <sheetView showGridLines="0" view="pageBreakPreview" zoomScale="60" zoomScaleNormal="100" workbookViewId="0">
      <selection activeCell="E10" sqref="E10:E48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2" t="s">
        <v>169</v>
      </c>
      <c r="C1" s="462"/>
      <c r="D1" s="462"/>
      <c r="E1" s="462"/>
      <c r="F1" s="462"/>
      <c r="G1" s="462"/>
      <c r="H1" s="462"/>
    </row>
    <row r="2" spans="1:10" s="89" customFormat="1" ht="15" customHeight="1">
      <c r="A2" s="77" t="s">
        <v>259</v>
      </c>
      <c r="C2" s="394" t="s">
        <v>241</v>
      </c>
      <c r="D2" s="145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5"/>
      <c r="H3" s="98"/>
    </row>
    <row r="4" spans="1:10" s="89" customFormat="1" ht="15" customHeight="1">
      <c r="A4" s="77" t="s">
        <v>135</v>
      </c>
      <c r="C4" s="80" t="str">
        <f>Capa!B30</f>
        <v>Resplendor/MG</v>
      </c>
      <c r="D4" s="145"/>
      <c r="G4" s="87"/>
      <c r="H4" s="86"/>
    </row>
    <row r="5" spans="1:10" ht="6" customHeight="1">
      <c r="A5" s="123"/>
      <c r="B5" s="124"/>
      <c r="C5" s="125"/>
      <c r="D5" s="146"/>
      <c r="E5" s="127"/>
      <c r="F5" s="126"/>
      <c r="G5" s="126"/>
      <c r="H5" s="149"/>
    </row>
    <row r="6" spans="1:10" s="100" customFormat="1" ht="47.45" customHeight="1">
      <c r="A6" s="232" t="s">
        <v>248</v>
      </c>
      <c r="B6" s="233" t="s">
        <v>249</v>
      </c>
      <c r="C6" s="463" t="s">
        <v>250</v>
      </c>
      <c r="D6" s="463"/>
      <c r="E6" s="234" t="s">
        <v>251</v>
      </c>
      <c r="F6" s="235" t="s">
        <v>252</v>
      </c>
      <c r="G6" s="235" t="s">
        <v>253</v>
      </c>
      <c r="H6" s="235" t="s">
        <v>254</v>
      </c>
    </row>
    <row r="7" spans="1:10" s="89" customFormat="1" ht="18" customHeight="1">
      <c r="A7" s="236">
        <v>1</v>
      </c>
      <c r="B7" s="237"/>
      <c r="C7" s="238"/>
      <c r="D7" s="236"/>
      <c r="E7" s="237"/>
      <c r="F7" s="237"/>
      <c r="G7" s="239" t="e">
        <f>G9</f>
        <v>#VALUE!</v>
      </c>
      <c r="H7" s="240" t="e">
        <f>G7/$G$50</f>
        <v>#VALUE!</v>
      </c>
    </row>
    <row r="8" spans="1:10" ht="6" customHeight="1">
      <c r="A8" s="123"/>
      <c r="B8" s="124"/>
      <c r="C8" s="125"/>
      <c r="D8" s="146"/>
      <c r="E8" s="127"/>
      <c r="F8" s="126"/>
      <c r="G8" s="126"/>
      <c r="H8" s="149"/>
    </row>
    <row r="9" spans="1:10" s="89" customFormat="1" ht="18" customHeight="1">
      <c r="A9" s="139" t="s">
        <v>28</v>
      </c>
      <c r="B9" s="140"/>
      <c r="C9" s="141"/>
      <c r="D9" s="139"/>
      <c r="E9" s="140"/>
      <c r="F9" s="140"/>
      <c r="G9" s="251" t="e">
        <f>SUM(G10:G14)</f>
        <v>#VALUE!</v>
      </c>
      <c r="H9" s="255" t="e">
        <f>SUM(H10:H14)</f>
        <v>#VALUE!</v>
      </c>
    </row>
    <row r="10" spans="1:10" s="90" customFormat="1" ht="16.149999999999999" customHeight="1">
      <c r="A10" s="172" t="s">
        <v>179</v>
      </c>
      <c r="B10" s="168" t="str">
        <f>Custos!B13</f>
        <v>Engenheiro Coordenador</v>
      </c>
      <c r="C10" s="169" t="e">
        <f>Custos!G13</f>
        <v>#VALUE!</v>
      </c>
      <c r="D10" s="167" t="s">
        <v>181</v>
      </c>
      <c r="E10" s="268">
        <v>10</v>
      </c>
      <c r="F10" s="169" t="e">
        <f>ROUND(C10*E10,2)</f>
        <v>#VALUE!</v>
      </c>
      <c r="G10" s="169" t="e">
        <f>ROUND((F10*K!$G$22),2)</f>
        <v>#VALUE!</v>
      </c>
      <c r="H10" s="176" t="e">
        <f>G10/$G$50</f>
        <v>#VALUE!</v>
      </c>
      <c r="J10" s="91"/>
    </row>
    <row r="11" spans="1:10" s="90" customFormat="1" ht="16.149999999999999" customHeight="1">
      <c r="A11" s="172" t="s">
        <v>182</v>
      </c>
      <c r="B11" s="168" t="str">
        <f>Custos!B14</f>
        <v>Engenheiro de Projetos Pleno</v>
      </c>
      <c r="C11" s="171" t="e">
        <f>Custos!G14</f>
        <v>#VALUE!</v>
      </c>
      <c r="D11" s="170" t="s">
        <v>181</v>
      </c>
      <c r="E11" s="268">
        <v>10</v>
      </c>
      <c r="F11" s="169" t="e">
        <f>ROUND(C11*E11,2)</f>
        <v>#VALUE!</v>
      </c>
      <c r="G11" s="169" t="e">
        <f>ROUND((F11*K!$G$22),2)</f>
        <v>#VALUE!</v>
      </c>
      <c r="H11" s="176" t="e">
        <f>G11/$G$50</f>
        <v>#VALUE!</v>
      </c>
      <c r="J11" s="91"/>
    </row>
    <row r="12" spans="1:10" s="90" customFormat="1" ht="16.149999999999999" customHeight="1">
      <c r="A12" s="172" t="s">
        <v>184</v>
      </c>
      <c r="B12" s="168" t="str">
        <f>Custos!B15</f>
        <v>Engenheiro de Projetos Júnior</v>
      </c>
      <c r="C12" s="171" t="e">
        <f>Custos!G15</f>
        <v>#VALUE!</v>
      </c>
      <c r="D12" s="170" t="s">
        <v>181</v>
      </c>
      <c r="E12" s="268">
        <v>20</v>
      </c>
      <c r="F12" s="169" t="e">
        <f>ROUND(C12*E12,2)</f>
        <v>#VALUE!</v>
      </c>
      <c r="G12" s="169" t="e">
        <f>ROUND((F12*K!$G$22),2)</f>
        <v>#VALUE!</v>
      </c>
      <c r="H12" s="176" t="e">
        <f>G12/$G$50</f>
        <v>#VALUE!</v>
      </c>
      <c r="J12" s="91"/>
    </row>
    <row r="13" spans="1:10" s="90" customFormat="1" ht="16.149999999999999" customHeight="1">
      <c r="A13" s="172" t="s">
        <v>186</v>
      </c>
      <c r="B13" s="168" t="str">
        <f>Custos!B16</f>
        <v>Técnico cadista</v>
      </c>
      <c r="C13" s="171" t="e">
        <f>Custos!G16</f>
        <v>#VALUE!</v>
      </c>
      <c r="D13" s="170" t="s">
        <v>181</v>
      </c>
      <c r="E13" s="268">
        <v>40</v>
      </c>
      <c r="F13" s="169" t="e">
        <f>ROUND(C13*E13,2)</f>
        <v>#VALUE!</v>
      </c>
      <c r="G13" s="169" t="e">
        <f>ROUND((F13*K!$G$22),2)</f>
        <v>#VALUE!</v>
      </c>
      <c r="H13" s="176" t="e">
        <f>G13/$G$50</f>
        <v>#VALUE!</v>
      </c>
      <c r="J13" s="91"/>
    </row>
    <row r="14" spans="1:10" s="90" customFormat="1" ht="16.149999999999999" customHeight="1">
      <c r="A14" s="172" t="s">
        <v>188</v>
      </c>
      <c r="B14" s="168" t="str">
        <f>Custos!B17</f>
        <v>Auxiliar Administrativo</v>
      </c>
      <c r="C14" s="171" t="e">
        <f>Custos!G17</f>
        <v>#VALUE!</v>
      </c>
      <c r="D14" s="170" t="s">
        <v>181</v>
      </c>
      <c r="E14" s="268">
        <v>40</v>
      </c>
      <c r="F14" s="169" t="e">
        <f>ROUND(C14*E14,2)</f>
        <v>#VALUE!</v>
      </c>
      <c r="G14" s="169" t="e">
        <f>ROUND((F14*K!$G$22),2)</f>
        <v>#VALUE!</v>
      </c>
      <c r="H14" s="176" t="e">
        <f>G14/$G$50</f>
        <v>#VALUE!</v>
      </c>
      <c r="J14" s="91"/>
    </row>
    <row r="15" spans="1:10" ht="6" customHeight="1">
      <c r="A15" s="123"/>
      <c r="B15" s="124"/>
      <c r="C15" s="125"/>
      <c r="D15" s="146"/>
      <c r="E15" s="289"/>
      <c r="F15" s="126"/>
      <c r="G15" s="126"/>
      <c r="H15" s="149"/>
    </row>
    <row r="16" spans="1:10" s="89" customFormat="1" ht="18" customHeight="1">
      <c r="A16" s="236">
        <v>2</v>
      </c>
      <c r="B16" s="237"/>
      <c r="C16" s="238"/>
      <c r="D16" s="236"/>
      <c r="E16" s="291"/>
      <c r="F16" s="237"/>
      <c r="G16" s="239" t="e">
        <f>G18</f>
        <v>#VALUE!</v>
      </c>
      <c r="H16" s="240" t="e">
        <f>G16/$G$50</f>
        <v>#VALUE!</v>
      </c>
    </row>
    <row r="17" spans="1:10" ht="5.0999999999999996" customHeight="1">
      <c r="A17" s="129"/>
      <c r="B17" s="131"/>
      <c r="C17" s="128"/>
      <c r="D17" s="122"/>
      <c r="E17" s="293"/>
      <c r="F17" s="122"/>
      <c r="G17" s="122"/>
      <c r="H17" s="148"/>
    </row>
    <row r="18" spans="1:10" s="89" customFormat="1" ht="18" customHeight="1">
      <c r="A18" s="241" t="s">
        <v>46</v>
      </c>
      <c r="B18" s="242"/>
      <c r="C18" s="243"/>
      <c r="D18" s="241"/>
      <c r="E18" s="294"/>
      <c r="F18" s="243"/>
      <c r="G18" s="244" t="e">
        <f>SUM(G19:G24)</f>
        <v>#VALUE!</v>
      </c>
      <c r="H18" s="256" t="e">
        <f>SUM(H19:H24)</f>
        <v>#VALUE!</v>
      </c>
    </row>
    <row r="19" spans="1:10" s="90" customFormat="1" ht="16.149999999999999" customHeight="1">
      <c r="A19" s="172" t="s">
        <v>179</v>
      </c>
      <c r="B19" s="168" t="str">
        <f>Custos!B22</f>
        <v>Advogado sênior</v>
      </c>
      <c r="C19" s="169" t="e">
        <f>Custos!G22</f>
        <v>#VALUE!</v>
      </c>
      <c r="D19" s="167" t="s">
        <v>181</v>
      </c>
      <c r="E19" s="268">
        <v>0</v>
      </c>
      <c r="F19" s="169" t="e">
        <f t="shared" ref="F19:F24" si="0">ROUND(C19*E19,2)</f>
        <v>#VALUE!</v>
      </c>
      <c r="G19" s="169" t="e">
        <f>ROUND((F19*K!$G$23),2)</f>
        <v>#VALUE!</v>
      </c>
      <c r="H19" s="175" t="e">
        <f t="shared" ref="H19:H24" si="1">G19/$G$50</f>
        <v>#VALUE!</v>
      </c>
    </row>
    <row r="20" spans="1:10" s="90" customFormat="1" ht="16.149999999999999" customHeight="1">
      <c r="A20" s="172" t="s">
        <v>182</v>
      </c>
      <c r="B20" s="168" t="str">
        <f>Custos!B23</f>
        <v>Engenheiro de Projetos (Elétrico)</v>
      </c>
      <c r="C20" s="169" t="e">
        <f>Custos!G23</f>
        <v>#VALUE!</v>
      </c>
      <c r="D20" s="167" t="s">
        <v>181</v>
      </c>
      <c r="E20" s="268">
        <v>0</v>
      </c>
      <c r="F20" s="169" t="e">
        <f t="shared" si="0"/>
        <v>#VALUE!</v>
      </c>
      <c r="G20" s="169" t="e">
        <f>ROUND((F20*K!$G$23),2)</f>
        <v>#VALUE!</v>
      </c>
      <c r="H20" s="175" t="e">
        <f t="shared" si="1"/>
        <v>#VALUE!</v>
      </c>
    </row>
    <row r="21" spans="1:10" s="90" customFormat="1" ht="16.149999999999999" customHeight="1">
      <c r="A21" s="172" t="s">
        <v>184</v>
      </c>
      <c r="B21" s="168" t="str">
        <f>Custos!B24</f>
        <v>Engenheiro de Projeto (Calculista)</v>
      </c>
      <c r="C21" s="169" t="e">
        <f>Custos!G24</f>
        <v>#VALUE!</v>
      </c>
      <c r="D21" s="167" t="s">
        <v>181</v>
      </c>
      <c r="E21" s="268">
        <v>0</v>
      </c>
      <c r="F21" s="169" t="e">
        <f t="shared" si="0"/>
        <v>#VALUE!</v>
      </c>
      <c r="G21" s="169" t="e">
        <f>ROUND((F21*K!$G$23),2)</f>
        <v>#VALUE!</v>
      </c>
      <c r="H21" s="175" t="e">
        <f t="shared" si="1"/>
        <v>#VALUE!</v>
      </c>
    </row>
    <row r="22" spans="1:10" s="90" customFormat="1" ht="16.149999999999999" customHeight="1">
      <c r="A22" s="172" t="s">
        <v>186</v>
      </c>
      <c r="B22" s="168" t="str">
        <f>Custos!B25</f>
        <v>Engenheiro de Projetos (Mecânico)</v>
      </c>
      <c r="C22" s="169" t="e">
        <f>Custos!G25</f>
        <v>#VALUE!</v>
      </c>
      <c r="D22" s="167" t="s">
        <v>181</v>
      </c>
      <c r="E22" s="268">
        <v>0</v>
      </c>
      <c r="F22" s="169" t="e">
        <f t="shared" si="0"/>
        <v>#VALUE!</v>
      </c>
      <c r="G22" s="169" t="e">
        <f>ROUND((F22*K!$G$23),2)</f>
        <v>#VALUE!</v>
      </c>
      <c r="H22" s="175" t="e">
        <f t="shared" si="1"/>
        <v>#VALUE!</v>
      </c>
    </row>
    <row r="23" spans="1:10" s="90" customFormat="1" ht="16.149999999999999" customHeight="1">
      <c r="A23" s="172" t="s">
        <v>188</v>
      </c>
      <c r="B23" s="168" t="str">
        <f>Custos!B26</f>
        <v>Engenheiro ambiental</v>
      </c>
      <c r="C23" s="169" t="e">
        <f>Custos!G26</f>
        <v>#VALUE!</v>
      </c>
      <c r="D23" s="167" t="s">
        <v>181</v>
      </c>
      <c r="E23" s="268">
        <v>0</v>
      </c>
      <c r="F23" s="169" t="e">
        <f t="shared" si="0"/>
        <v>#VALUE!</v>
      </c>
      <c r="G23" s="169" t="e">
        <f>ROUND((F23*K!$G$23),2)</f>
        <v>#VALUE!</v>
      </c>
      <c r="H23" s="175" t="e">
        <f t="shared" si="1"/>
        <v>#VALUE!</v>
      </c>
    </row>
    <row r="24" spans="1:10" s="90" customFormat="1" ht="16.149999999999999" customHeight="1">
      <c r="A24" s="172" t="s">
        <v>197</v>
      </c>
      <c r="B24" s="168" t="str">
        <f>Custos!B27</f>
        <v>Técnico em geoprocessamento</v>
      </c>
      <c r="C24" s="169" t="e">
        <f>Custos!G27</f>
        <v>#VALUE!</v>
      </c>
      <c r="D24" s="167" t="s">
        <v>181</v>
      </c>
      <c r="E24" s="268">
        <v>0</v>
      </c>
      <c r="F24" s="169" t="e">
        <f t="shared" si="0"/>
        <v>#VALUE!</v>
      </c>
      <c r="G24" s="169" t="e">
        <f>ROUND((F24*K!$G$23),2)</f>
        <v>#VALUE!</v>
      </c>
      <c r="H24" s="175" t="e">
        <f t="shared" si="1"/>
        <v>#VALUE!</v>
      </c>
      <c r="J24" s="91"/>
    </row>
    <row r="25" spans="1:10" ht="6" customHeight="1">
      <c r="A25" s="123"/>
      <c r="B25" s="124"/>
      <c r="C25" s="125"/>
      <c r="D25" s="146"/>
      <c r="E25" s="289"/>
      <c r="F25" s="126"/>
      <c r="G25" s="126"/>
      <c r="H25" s="149"/>
    </row>
    <row r="26" spans="1:10" s="89" customFormat="1" ht="18" customHeight="1">
      <c r="A26" s="245">
        <v>3</v>
      </c>
      <c r="B26" s="143"/>
      <c r="C26" s="144"/>
      <c r="D26" s="142"/>
      <c r="E26" s="295"/>
      <c r="F26" s="143"/>
      <c r="G26" s="250" t="e">
        <f>G28+G33+G39</f>
        <v>#VALUE!</v>
      </c>
      <c r="H26" s="240" t="e">
        <f>G26/$G$50</f>
        <v>#VALUE!</v>
      </c>
    </row>
    <row r="27" spans="1:10" ht="5.0999999999999996" customHeight="1">
      <c r="A27" s="129"/>
      <c r="B27" s="131"/>
      <c r="C27" s="128"/>
      <c r="D27" s="122"/>
      <c r="E27" s="293"/>
      <c r="F27" s="122"/>
      <c r="G27" s="122"/>
      <c r="H27" s="148"/>
    </row>
    <row r="28" spans="1:10" s="89" customFormat="1" ht="18" customHeight="1">
      <c r="A28" s="139" t="s">
        <v>58</v>
      </c>
      <c r="B28" s="140"/>
      <c r="C28" s="141"/>
      <c r="D28" s="139"/>
      <c r="E28" s="292"/>
      <c r="F28" s="140"/>
      <c r="G28" s="251" t="e">
        <f>SUM(G29:G31)</f>
        <v>#VALUE!</v>
      </c>
      <c r="H28" s="255" t="e">
        <f>SUM(H29:H31)</f>
        <v>#VALUE!</v>
      </c>
    </row>
    <row r="29" spans="1:10" s="90" customFormat="1">
      <c r="A29" s="172" t="s">
        <v>179</v>
      </c>
      <c r="B29" s="264" t="str">
        <f>Custos!B38</f>
        <v>Mobilização e desmobilização de equipe de topografia</v>
      </c>
      <c r="C29" s="174" t="str">
        <f>Custos!G38</f>
        <v>preencher</v>
      </c>
      <c r="D29" s="212" t="str">
        <f>Custos!E38</f>
        <v>km</v>
      </c>
      <c r="E29" s="407">
        <v>0</v>
      </c>
      <c r="F29" s="169" t="e">
        <f>ROUND(C29*E29,2)</f>
        <v>#VALUE!</v>
      </c>
      <c r="G29" s="169" t="e">
        <f>ROUND((F29*K!$G$24),2)</f>
        <v>#VALUE!</v>
      </c>
      <c r="H29" s="176" t="e">
        <f>G29/$G$50</f>
        <v>#VALUE!</v>
      </c>
    </row>
    <row r="30" spans="1:10" s="90" customFormat="1">
      <c r="A30" s="172" t="s">
        <v>182</v>
      </c>
      <c r="B30" s="264" t="str">
        <f>Custos!B39</f>
        <v>Equipe de topografia de campo</v>
      </c>
      <c r="C30" s="174" t="str">
        <f>Custos!G39</f>
        <v>preencher</v>
      </c>
      <c r="D30" s="212" t="str">
        <f>Custos!E39</f>
        <v>mês</v>
      </c>
      <c r="E30" s="407">
        <v>0</v>
      </c>
      <c r="F30" s="169" t="e">
        <f>ROUND(C30*E30,2)</f>
        <v>#VALUE!</v>
      </c>
      <c r="G30" s="169" t="e">
        <f>ROUND((F30*K!$G$24),2)</f>
        <v>#VALUE!</v>
      </c>
      <c r="H30" s="176" t="e">
        <f>G30/$G$50</f>
        <v>#VALUE!</v>
      </c>
    </row>
    <row r="31" spans="1:10" s="90" customFormat="1">
      <c r="A31" s="172" t="s">
        <v>184</v>
      </c>
      <c r="B31" s="264" t="str">
        <f>Custos!B40</f>
        <v>Equipe de topografia de escritório</v>
      </c>
      <c r="C31" s="174" t="str">
        <f>Custos!G40</f>
        <v>preencher</v>
      </c>
      <c r="D31" s="212" t="str">
        <f>Custos!E40</f>
        <v>mês</v>
      </c>
      <c r="E31" s="407">
        <v>0</v>
      </c>
      <c r="F31" s="169" t="e">
        <f>ROUND(C31*E31,2)</f>
        <v>#VALUE!</v>
      </c>
      <c r="G31" s="169" t="e">
        <f>ROUND((F31*K!$G$24),2)</f>
        <v>#VALUE!</v>
      </c>
      <c r="H31" s="176" t="e">
        <f>G31/$G$50</f>
        <v>#VALUE!</v>
      </c>
    </row>
    <row r="32" spans="1:10" ht="10.5" customHeight="1">
      <c r="A32" s="129"/>
      <c r="B32" s="131"/>
      <c r="C32" s="128"/>
      <c r="D32" s="212"/>
      <c r="E32" s="293"/>
      <c r="F32" s="122"/>
      <c r="G32" s="122"/>
      <c r="H32" s="148"/>
    </row>
    <row r="33" spans="1:8" s="89" customFormat="1" ht="18" customHeight="1">
      <c r="A33" s="119" t="s">
        <v>59</v>
      </c>
      <c r="B33" s="132"/>
      <c r="C33" s="121"/>
      <c r="D33" s="119"/>
      <c r="E33" s="296"/>
      <c r="F33" s="120"/>
      <c r="G33" s="133" t="e">
        <f>SUM(G35:G36)</f>
        <v>#VALUE!</v>
      </c>
      <c r="H33" s="254" t="e">
        <f>SUM(H35:H36)</f>
        <v>#VALUE!</v>
      </c>
    </row>
    <row r="34" spans="1:8" s="90" customFormat="1">
      <c r="A34" s="172" t="s">
        <v>179</v>
      </c>
      <c r="B34" s="264" t="str">
        <f>Custos!B32</f>
        <v>Sondagem a percussao - mobilizacao e desmobilizacao</v>
      </c>
      <c r="C34" s="174" t="str">
        <f>Custos!G32</f>
        <v>preencher</v>
      </c>
      <c r="D34" s="212" t="str">
        <f>Custos!E32</f>
        <v>unidade</v>
      </c>
      <c r="E34" s="407">
        <v>0</v>
      </c>
      <c r="F34" s="169" t="e">
        <f>ROUND(C34*E34,2)</f>
        <v>#VALUE!</v>
      </c>
      <c r="G34" s="169" t="e">
        <f>ROUND((F34*K!$G$24),2)</f>
        <v>#VALUE!</v>
      </c>
      <c r="H34" s="176" t="e">
        <f>G34/$G$50</f>
        <v>#VALUE!</v>
      </c>
    </row>
    <row r="35" spans="1:8" s="90" customFormat="1" ht="26.45" customHeight="1">
      <c r="A35" s="172" t="s">
        <v>182</v>
      </c>
      <c r="B35" s="277" t="str">
        <f>Custos!B33</f>
        <v>Sondagem a percussao - adicional de mobilizacao e desmobilizacao</v>
      </c>
      <c r="C35" s="174" t="str">
        <f>Custos!G33</f>
        <v>preencher</v>
      </c>
      <c r="D35" s="265" t="str">
        <f>Custos!E33</f>
        <v>km</v>
      </c>
      <c r="E35" s="407">
        <v>0</v>
      </c>
      <c r="F35" s="169" t="e">
        <f>ROUND(C35*E35,2)</f>
        <v>#VALUE!</v>
      </c>
      <c r="G35" s="169" t="e">
        <f>ROUND((F35*K!$G$24),2)</f>
        <v>#VALUE!</v>
      </c>
      <c r="H35" s="175" t="e">
        <f>G35/$G$50</f>
        <v>#VALUE!</v>
      </c>
    </row>
    <row r="36" spans="1:8" s="90" customFormat="1">
      <c r="A36" s="172" t="s">
        <v>184</v>
      </c>
      <c r="B36" s="264" t="str">
        <f>Custos!B34</f>
        <v>Sondagem a percussao - instalacao por furo</v>
      </c>
      <c r="C36" s="174" t="str">
        <f>Custos!G34</f>
        <v>preencher</v>
      </c>
      <c r="D36" s="212" t="str">
        <f>Custos!E34</f>
        <v>unidade</v>
      </c>
      <c r="E36" s="407">
        <v>0</v>
      </c>
      <c r="F36" s="169" t="e">
        <f>ROUND(C36*E36,2)</f>
        <v>#VALUE!</v>
      </c>
      <c r="G36" s="169" t="e">
        <f>ROUND((F36*K!$G$24),2)</f>
        <v>#VALUE!</v>
      </c>
      <c r="H36" s="176" t="e">
        <f>G36/$G$50</f>
        <v>#VALUE!</v>
      </c>
    </row>
    <row r="37" spans="1:8" s="90" customFormat="1" ht="26.45" customHeight="1">
      <c r="A37" s="172" t="s">
        <v>186</v>
      </c>
      <c r="B37" s="277" t="str">
        <f>Custos!B35</f>
        <v>Sondagem a percussao ø2.1/2" - perfuracao e retirada de amostras</v>
      </c>
      <c r="C37" s="174" t="str">
        <f>Custos!G35</f>
        <v>preencher</v>
      </c>
      <c r="D37" s="265" t="str">
        <f>Custos!E35</f>
        <v>m</v>
      </c>
      <c r="E37" s="407">
        <v>0</v>
      </c>
      <c r="F37" s="169" t="e">
        <f>ROUND(C37*E37,2)</f>
        <v>#VALUE!</v>
      </c>
      <c r="G37" s="169" t="e">
        <f>ROUND((F37*K!$G$24),2)</f>
        <v>#VALUE!</v>
      </c>
      <c r="H37" s="176" t="e">
        <f>G37/$G$50</f>
        <v>#VALUE!</v>
      </c>
    </row>
    <row r="38" spans="1:8" ht="6" customHeight="1">
      <c r="A38" s="123"/>
      <c r="B38" s="124"/>
      <c r="C38" s="125"/>
      <c r="D38" s="146"/>
      <c r="E38" s="407"/>
      <c r="F38" s="126"/>
      <c r="G38" s="126"/>
      <c r="H38" s="149"/>
    </row>
    <row r="39" spans="1:8" s="89" customFormat="1" ht="18" customHeight="1">
      <c r="A39" s="119" t="s">
        <v>60</v>
      </c>
      <c r="B39" s="132"/>
      <c r="C39" s="121"/>
      <c r="D39" s="119"/>
      <c r="E39" s="296"/>
      <c r="F39" s="120"/>
      <c r="G39" s="133" t="e">
        <f>SUM(G40:G41)</f>
        <v>#VALUE!</v>
      </c>
      <c r="H39" s="254" t="e">
        <f>SUM(H40:H41)</f>
        <v>#VALUE!</v>
      </c>
    </row>
    <row r="40" spans="1:8" s="90" customFormat="1">
      <c r="A40" s="172" t="s">
        <v>179</v>
      </c>
      <c r="B40" s="264" t="str">
        <f>Custos!B43</f>
        <v>Equipe de topografia de campo</v>
      </c>
      <c r="C40" s="174" t="str">
        <f>Custos!G43</f>
        <v>preencher</v>
      </c>
      <c r="D40" s="212" t="str">
        <f>Custos!E43</f>
        <v>mês</v>
      </c>
      <c r="E40" s="407">
        <v>0</v>
      </c>
      <c r="F40" s="169" t="e">
        <f>ROUND(C40*E40,2)</f>
        <v>#VALUE!</v>
      </c>
      <c r="G40" s="169" t="e">
        <f>ROUND((F40*K!$G$24),2)</f>
        <v>#VALUE!</v>
      </c>
      <c r="H40" s="176" t="e">
        <f>G40/$G$50</f>
        <v>#VALUE!</v>
      </c>
    </row>
    <row r="41" spans="1:8" s="90" customFormat="1">
      <c r="A41" s="172" t="s">
        <v>182</v>
      </c>
      <c r="B41" s="264" t="str">
        <f>Custos!B44</f>
        <v>Equipe de topografia de escritório</v>
      </c>
      <c r="C41" s="174" t="str">
        <f>Custos!G44</f>
        <v>preencher</v>
      </c>
      <c r="D41" s="212" t="str">
        <f>Custos!E44</f>
        <v>mês</v>
      </c>
      <c r="E41" s="407">
        <v>0</v>
      </c>
      <c r="F41" s="169" t="e">
        <f>ROUND(C41*E41,2)</f>
        <v>#VALUE!</v>
      </c>
      <c r="G41" s="169" t="e">
        <f>ROUND((F41*K!$G$24),2)</f>
        <v>#VALUE!</v>
      </c>
      <c r="H41" s="176" t="e">
        <f>G41/$G$50</f>
        <v>#VALUE!</v>
      </c>
    </row>
    <row r="42" spans="1:8" ht="5.0999999999999996" customHeight="1">
      <c r="A42" s="172"/>
      <c r="B42" s="134"/>
      <c r="C42" s="128"/>
      <c r="D42" s="167"/>
      <c r="E42" s="293"/>
      <c r="F42" s="122"/>
      <c r="G42" s="122"/>
      <c r="H42" s="148"/>
    </row>
    <row r="43" spans="1:8" s="89" customFormat="1" ht="18" customHeight="1">
      <c r="A43" s="245" t="s">
        <v>255</v>
      </c>
      <c r="B43" s="143"/>
      <c r="C43" s="144"/>
      <c r="D43" s="142"/>
      <c r="E43" s="295"/>
      <c r="F43" s="143"/>
      <c r="G43" s="250" t="e">
        <f>G45</f>
        <v>#VALUE!</v>
      </c>
      <c r="H43" s="240" t="e">
        <f>G43/$G$50</f>
        <v>#VALUE!</v>
      </c>
    </row>
    <row r="44" spans="1:8" ht="5.0999999999999996" customHeight="1">
      <c r="A44" s="246"/>
      <c r="B44" s="134"/>
      <c r="C44" s="128"/>
      <c r="D44" s="122"/>
      <c r="E44" s="293"/>
      <c r="F44" s="122"/>
      <c r="G44" s="122"/>
      <c r="H44" s="148"/>
    </row>
    <row r="45" spans="1:8" s="89" customFormat="1" ht="18" customHeight="1">
      <c r="A45" s="119" t="s">
        <v>71</v>
      </c>
      <c r="B45" s="120"/>
      <c r="C45" s="121"/>
      <c r="D45" s="119"/>
      <c r="E45" s="296"/>
      <c r="F45" s="120"/>
      <c r="G45" s="138" t="e">
        <f>SUM(G46:G48)</f>
        <v>#VALUE!</v>
      </c>
      <c r="H45" s="253" t="e">
        <f>SUM(H46:H48)</f>
        <v>#VALUE!</v>
      </c>
    </row>
    <row r="46" spans="1:8" s="90" customFormat="1" ht="16.149999999999999" customHeight="1">
      <c r="A46" s="172" t="s">
        <v>179</v>
      </c>
      <c r="B46" s="173" t="str">
        <f>Custos!B49</f>
        <v>Veículo tipo pick-up 4X4</v>
      </c>
      <c r="C46" s="174" t="e">
        <f>'Produto Consolidado'!C46</f>
        <v>#VALUE!</v>
      </c>
      <c r="D46" s="212" t="str">
        <f>'P1'!D46</f>
        <v>R$/dia</v>
      </c>
      <c r="E46" s="407">
        <v>3</v>
      </c>
      <c r="F46" s="169" t="e">
        <f>ROUND(C46*E46,2)</f>
        <v>#VALUE!</v>
      </c>
      <c r="G46" s="169" t="e">
        <f>ROUND((F46*K!$G$25),2)</f>
        <v>#VALUE!</v>
      </c>
      <c r="H46" s="176" t="e">
        <f>G46/$G$50</f>
        <v>#VALUE!</v>
      </c>
    </row>
    <row r="47" spans="1:8" s="90" customFormat="1" ht="16.149999999999999" customHeight="1">
      <c r="A47" s="172" t="s">
        <v>182</v>
      </c>
      <c r="B47" s="173" t="str">
        <f>Custos!B50</f>
        <v>Refeições</v>
      </c>
      <c r="C47" s="174" t="str">
        <f>'P1'!C47</f>
        <v>preencher</v>
      </c>
      <c r="D47" s="212" t="str">
        <f>'P1'!D47</f>
        <v>unidade</v>
      </c>
      <c r="E47" s="407">
        <v>9</v>
      </c>
      <c r="F47" s="169" t="e">
        <f>ROUND(C47*E47,2)</f>
        <v>#VALUE!</v>
      </c>
      <c r="G47" s="169" t="e">
        <f>ROUND((F47*K!$G$25),2)</f>
        <v>#VALUE!</v>
      </c>
      <c r="H47" s="176" t="e">
        <f>G47/$G$50</f>
        <v>#VALUE!</v>
      </c>
    </row>
    <row r="48" spans="1:8" s="90" customFormat="1" ht="16.149999999999999" customHeight="1">
      <c r="A48" s="172" t="s">
        <v>184</v>
      </c>
      <c r="B48" s="173" t="str">
        <f>Custos!B51</f>
        <v>Diárias</v>
      </c>
      <c r="C48" s="174" t="str">
        <f>'P1'!C48</f>
        <v>preencher</v>
      </c>
      <c r="D48" s="212" t="str">
        <f>'P1'!D48</f>
        <v>unidade</v>
      </c>
      <c r="E48" s="407">
        <v>6</v>
      </c>
      <c r="F48" s="169" t="e">
        <f>ROUND(C48*E48,2)</f>
        <v>#VALUE!</v>
      </c>
      <c r="G48" s="169" t="e">
        <f>ROUND((F48*K!$G$25),2)</f>
        <v>#VALUE!</v>
      </c>
      <c r="H48" s="176" t="e">
        <f>G48/$G$50</f>
        <v>#VALUE!</v>
      </c>
    </row>
    <row r="49" spans="1:9" ht="6" customHeight="1">
      <c r="A49" s="117"/>
      <c r="B49" s="135"/>
      <c r="C49" s="136"/>
      <c r="D49" s="146"/>
      <c r="E49" s="126"/>
      <c r="F49" s="126"/>
      <c r="G49" s="137"/>
      <c r="H49" s="150"/>
    </row>
    <row r="50" spans="1:9" ht="18" customHeight="1">
      <c r="A50" s="464" t="s">
        <v>256</v>
      </c>
      <c r="B50" s="464"/>
      <c r="C50" s="247"/>
      <c r="D50" s="248"/>
      <c r="E50" s="249"/>
      <c r="F50" s="247" t="s">
        <v>237</v>
      </c>
      <c r="G50" s="247" t="e">
        <f>ROUND((G7+G16+G26+G43),2)</f>
        <v>#VALUE!</v>
      </c>
      <c r="H50" s="252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0"/>
    </row>
    <row r="52" spans="1:9" ht="20.100000000000001" customHeight="1">
      <c r="A52" s="465" t="s">
        <v>286</v>
      </c>
      <c r="B52" s="465"/>
      <c r="C52" s="465"/>
      <c r="D52" s="465"/>
      <c r="E52" s="465"/>
      <c r="F52" s="465"/>
      <c r="G52" s="465"/>
      <c r="H52" s="465"/>
    </row>
    <row r="53" spans="1:9" ht="24" customHeight="1">
      <c r="A53" s="465" t="s">
        <v>287</v>
      </c>
      <c r="B53" s="465"/>
      <c r="C53" s="465"/>
      <c r="D53" s="465"/>
      <c r="E53" s="465"/>
      <c r="F53" s="465"/>
      <c r="G53" s="465"/>
      <c r="H53" s="465"/>
    </row>
    <row r="54" spans="1:9" ht="13.15" customHeight="1">
      <c r="A54" s="465" t="s">
        <v>288</v>
      </c>
      <c r="B54" s="465"/>
      <c r="C54" s="465"/>
      <c r="D54" s="465"/>
      <c r="E54" s="465"/>
      <c r="F54" s="465"/>
      <c r="G54" s="465"/>
      <c r="H54" s="465"/>
    </row>
    <row r="55" spans="1:9" ht="13.15" customHeight="1">
      <c r="A55" s="118"/>
      <c r="B55" s="461"/>
      <c r="C55" s="461"/>
      <c r="D55" s="461"/>
      <c r="E55" s="461"/>
      <c r="F55" s="461"/>
      <c r="G55" s="461"/>
      <c r="H55" s="461"/>
    </row>
    <row r="56" spans="1:9" ht="13.15" customHeight="1">
      <c r="A56" s="118"/>
      <c r="B56" s="225"/>
      <c r="C56" s="225"/>
      <c r="D56" s="225"/>
      <c r="E56" s="225"/>
      <c r="F56" s="225"/>
      <c r="G56" s="225"/>
      <c r="H56" s="225"/>
    </row>
    <row r="57" spans="1:9" ht="13.15" customHeight="1">
      <c r="A57" s="459"/>
      <c r="B57" s="459"/>
      <c r="C57" s="459"/>
      <c r="D57" s="459"/>
      <c r="E57" s="459"/>
      <c r="F57" s="459"/>
      <c r="G57" s="225"/>
      <c r="H57" s="225"/>
    </row>
    <row r="58" spans="1:9" ht="13.15" customHeight="1">
      <c r="A58" s="460"/>
      <c r="B58" s="460"/>
      <c r="C58" s="460"/>
      <c r="D58" s="460"/>
      <c r="E58" s="460"/>
      <c r="F58" s="460"/>
      <c r="G58" s="225"/>
      <c r="H58" s="225"/>
    </row>
    <row r="59" spans="1:9" ht="13.15" customHeight="1">
      <c r="A59" s="460"/>
      <c r="B59" s="460"/>
      <c r="C59" s="460"/>
      <c r="D59" s="460"/>
      <c r="E59" s="460"/>
      <c r="F59" s="460"/>
      <c r="G59" s="225"/>
      <c r="H59" s="225"/>
    </row>
    <row r="60" spans="1:9">
      <c r="A60" s="331"/>
      <c r="B60" s="97"/>
      <c r="D60" s="97"/>
      <c r="E60" s="97"/>
      <c r="I60"/>
    </row>
    <row r="61" spans="1:9" ht="15" customHeight="1">
      <c r="A61" s="459"/>
      <c r="B61" s="459"/>
      <c r="C61" s="459"/>
      <c r="D61" s="459"/>
      <c r="E61" s="459"/>
      <c r="F61" s="459"/>
      <c r="G61" s="271"/>
      <c r="H61" s="258"/>
      <c r="I61"/>
    </row>
    <row r="62" spans="1:9" ht="15" customHeight="1">
      <c r="A62" s="460"/>
      <c r="B62" s="460"/>
      <c r="C62" s="460"/>
      <c r="D62" s="460"/>
      <c r="E62" s="460"/>
      <c r="F62" s="460"/>
      <c r="G62" s="257"/>
      <c r="H62" s="258"/>
    </row>
    <row r="63" spans="1:9" ht="15" customHeight="1">
      <c r="A63" s="460"/>
      <c r="B63" s="460"/>
      <c r="C63" s="460"/>
      <c r="D63" s="460"/>
      <c r="E63" s="460"/>
      <c r="F63" s="460"/>
      <c r="G63" s="126"/>
      <c r="H63" s="259"/>
      <c r="I63" s="89"/>
    </row>
  </sheetData>
  <sheetProtection algorithmName="SHA-512" hashValue="Xo6F3IBSj5KqSx2qkh0IaYve6c9Ko0ZYoln3MzW7JNw6rUTbyjriXOWLscVFDsofzePL5K4jMC0FITW/3x5K2Q==" saltValue="wTe8Ks1CnAHBGBWLENwuuA==" spinCount="100000" sheet="1" objects="1" scenarios="1"/>
  <mergeCells count="19">
    <mergeCell ref="A54:H54"/>
    <mergeCell ref="B1:H1"/>
    <mergeCell ref="C6:D6"/>
    <mergeCell ref="A50:B50"/>
    <mergeCell ref="A52:H52"/>
    <mergeCell ref="A53:H53"/>
    <mergeCell ref="A61:B61"/>
    <mergeCell ref="A62:B62"/>
    <mergeCell ref="A63:B63"/>
    <mergeCell ref="B55:H55"/>
    <mergeCell ref="C57:F57"/>
    <mergeCell ref="C58:F58"/>
    <mergeCell ref="C59:F59"/>
    <mergeCell ref="C61:F61"/>
    <mergeCell ref="C62:F62"/>
    <mergeCell ref="C63:F63"/>
    <mergeCell ref="A57:B57"/>
    <mergeCell ref="A58:B58"/>
    <mergeCell ref="A59:B59"/>
  </mergeCells>
  <conditionalFormatting sqref="A52:H54">
    <cfRule type="containsText" dxfId="7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Planilha12">
    <tabColor theme="8" tint="-0.249977111117893"/>
    <pageSetUpPr fitToPage="1"/>
  </sheetPr>
  <dimension ref="A1:J63"/>
  <sheetViews>
    <sheetView showGridLines="0" view="pageBreakPreview" zoomScale="60" zoomScaleNormal="100" workbookViewId="0">
      <selection activeCell="E10" sqref="E10:E48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2" t="s">
        <v>169</v>
      </c>
      <c r="C1" s="462"/>
      <c r="D1" s="462"/>
      <c r="E1" s="462"/>
      <c r="F1" s="462"/>
      <c r="G1" s="462"/>
      <c r="H1" s="462"/>
    </row>
    <row r="2" spans="1:10" s="89" customFormat="1" ht="15" customHeight="1">
      <c r="A2" s="77" t="s">
        <v>260</v>
      </c>
      <c r="C2" s="394" t="s">
        <v>242</v>
      </c>
      <c r="D2" s="145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5"/>
      <c r="H3" s="98"/>
    </row>
    <row r="4" spans="1:10" s="89" customFormat="1" ht="15" customHeight="1">
      <c r="A4" s="77" t="s">
        <v>135</v>
      </c>
      <c r="C4" s="80" t="str">
        <f>Capa!B30</f>
        <v>Resplendor/MG</v>
      </c>
      <c r="D4" s="145"/>
      <c r="G4" s="87"/>
      <c r="H4" s="86"/>
    </row>
    <row r="5" spans="1:10" ht="6" customHeight="1">
      <c r="A5" s="123"/>
      <c r="B5" s="124"/>
      <c r="C5" s="125"/>
      <c r="D5" s="146"/>
      <c r="E5" s="127"/>
      <c r="F5" s="126"/>
      <c r="G5" s="126"/>
      <c r="H5" s="149"/>
    </row>
    <row r="6" spans="1:10" s="100" customFormat="1" ht="47.45" customHeight="1">
      <c r="A6" s="232" t="s">
        <v>248</v>
      </c>
      <c r="B6" s="233" t="s">
        <v>249</v>
      </c>
      <c r="C6" s="463" t="s">
        <v>250</v>
      </c>
      <c r="D6" s="463"/>
      <c r="E6" s="234" t="s">
        <v>251</v>
      </c>
      <c r="F6" s="235" t="s">
        <v>252</v>
      </c>
      <c r="G6" s="235" t="s">
        <v>253</v>
      </c>
      <c r="H6" s="235" t="s">
        <v>254</v>
      </c>
    </row>
    <row r="7" spans="1:10" s="89" customFormat="1" ht="18" customHeight="1">
      <c r="A7" s="236">
        <v>1</v>
      </c>
      <c r="B7" s="237"/>
      <c r="C7" s="238"/>
      <c r="D7" s="236"/>
      <c r="E7" s="237"/>
      <c r="F7" s="237"/>
      <c r="G7" s="239" t="e">
        <f>G9</f>
        <v>#VALUE!</v>
      </c>
      <c r="H7" s="240" t="e">
        <f>G7/$G$50</f>
        <v>#VALUE!</v>
      </c>
    </row>
    <row r="8" spans="1:10" ht="6" customHeight="1">
      <c r="A8" s="123"/>
      <c r="B8" s="124"/>
      <c r="C8" s="125"/>
      <c r="D8" s="146"/>
      <c r="E8" s="127"/>
      <c r="F8" s="126"/>
      <c r="G8" s="126"/>
      <c r="H8" s="149"/>
    </row>
    <row r="9" spans="1:10" s="89" customFormat="1" ht="18" customHeight="1">
      <c r="A9" s="139" t="s">
        <v>28</v>
      </c>
      <c r="B9" s="140"/>
      <c r="C9" s="141"/>
      <c r="D9" s="139"/>
      <c r="E9" s="140"/>
      <c r="F9" s="140"/>
      <c r="G9" s="251" t="e">
        <f>SUM(G10:G14)</f>
        <v>#VALUE!</v>
      </c>
      <c r="H9" s="255" t="e">
        <f>SUM(H10:H14)</f>
        <v>#VALUE!</v>
      </c>
    </row>
    <row r="10" spans="1:10" s="90" customFormat="1" ht="16.149999999999999" customHeight="1">
      <c r="A10" s="172" t="s">
        <v>179</v>
      </c>
      <c r="B10" s="168" t="str">
        <f>Custos!B13</f>
        <v>Engenheiro Coordenador</v>
      </c>
      <c r="C10" s="169" t="e">
        <f>Custos!G13</f>
        <v>#VALUE!</v>
      </c>
      <c r="D10" s="167" t="s">
        <v>181</v>
      </c>
      <c r="E10" s="268">
        <v>5</v>
      </c>
      <c r="F10" s="169" t="e">
        <f>ROUND(C10*E10,2)</f>
        <v>#VALUE!</v>
      </c>
      <c r="G10" s="169" t="e">
        <f>ROUND((F10*K!$G$22),2)</f>
        <v>#VALUE!</v>
      </c>
      <c r="H10" s="176" t="e">
        <f>G10/$G$50</f>
        <v>#VALUE!</v>
      </c>
      <c r="J10" s="91"/>
    </row>
    <row r="11" spans="1:10" s="90" customFormat="1" ht="16.149999999999999" customHeight="1">
      <c r="A11" s="172" t="s">
        <v>182</v>
      </c>
      <c r="B11" s="168" t="str">
        <f>Custos!B14</f>
        <v>Engenheiro de Projetos Pleno</v>
      </c>
      <c r="C11" s="171" t="e">
        <f>Custos!G14</f>
        <v>#VALUE!</v>
      </c>
      <c r="D11" s="170" t="s">
        <v>181</v>
      </c>
      <c r="E11" s="268">
        <v>5</v>
      </c>
      <c r="F11" s="169" t="e">
        <f>ROUND(C11*E11,2)</f>
        <v>#VALUE!</v>
      </c>
      <c r="G11" s="169" t="e">
        <f>ROUND((F11*K!$G$22),2)</f>
        <v>#VALUE!</v>
      </c>
      <c r="H11" s="176" t="e">
        <f>G11/$G$50</f>
        <v>#VALUE!</v>
      </c>
      <c r="J11" s="91"/>
    </row>
    <row r="12" spans="1:10" s="90" customFormat="1" ht="16.149999999999999" customHeight="1">
      <c r="A12" s="172" t="s">
        <v>184</v>
      </c>
      <c r="B12" s="168" t="str">
        <f>Custos!B15</f>
        <v>Engenheiro de Projetos Júnior</v>
      </c>
      <c r="C12" s="171" t="e">
        <f>Custos!G15</f>
        <v>#VALUE!</v>
      </c>
      <c r="D12" s="170" t="s">
        <v>181</v>
      </c>
      <c r="E12" s="268">
        <v>40</v>
      </c>
      <c r="F12" s="169" t="e">
        <f>ROUND(C12*E12,2)</f>
        <v>#VALUE!</v>
      </c>
      <c r="G12" s="169" t="e">
        <f>ROUND((F12*K!$G$22),2)</f>
        <v>#VALUE!</v>
      </c>
      <c r="H12" s="176" t="e">
        <f>G12/$G$50</f>
        <v>#VALUE!</v>
      </c>
      <c r="J12" s="91"/>
    </row>
    <row r="13" spans="1:10" s="90" customFormat="1" ht="16.149999999999999" customHeight="1">
      <c r="A13" s="172" t="s">
        <v>186</v>
      </c>
      <c r="B13" s="168" t="str">
        <f>Custos!B16</f>
        <v>Técnico cadista</v>
      </c>
      <c r="C13" s="171" t="e">
        <f>Custos!G16</f>
        <v>#VALUE!</v>
      </c>
      <c r="D13" s="170" t="s">
        <v>181</v>
      </c>
      <c r="E13" s="268">
        <v>80</v>
      </c>
      <c r="F13" s="169" t="e">
        <f t="shared" ref="F13:F14" si="0">ROUND(C13*E13,2)</f>
        <v>#VALUE!</v>
      </c>
      <c r="G13" s="169" t="e">
        <f>ROUND((F13*K!$G$22),2)</f>
        <v>#VALUE!</v>
      </c>
      <c r="H13" s="176" t="e">
        <f t="shared" ref="H13:H14" si="1">G13/$G$50</f>
        <v>#VALUE!</v>
      </c>
      <c r="J13" s="91"/>
    </row>
    <row r="14" spans="1:10" s="90" customFormat="1" ht="16.149999999999999" customHeight="1">
      <c r="A14" s="172" t="s">
        <v>188</v>
      </c>
      <c r="B14" s="168" t="str">
        <f>Custos!B17</f>
        <v>Auxiliar Administrativo</v>
      </c>
      <c r="C14" s="171" t="e">
        <f>Custos!G17</f>
        <v>#VALUE!</v>
      </c>
      <c r="D14" s="170" t="s">
        <v>181</v>
      </c>
      <c r="E14" s="268">
        <v>100</v>
      </c>
      <c r="F14" s="169" t="e">
        <f t="shared" si="0"/>
        <v>#VALUE!</v>
      </c>
      <c r="G14" s="169" t="e">
        <f>ROUND((F14*K!$G$22),2)</f>
        <v>#VALUE!</v>
      </c>
      <c r="H14" s="176" t="e">
        <f t="shared" si="1"/>
        <v>#VALUE!</v>
      </c>
      <c r="J14" s="91"/>
    </row>
    <row r="15" spans="1:10" ht="6" customHeight="1">
      <c r="A15" s="123"/>
      <c r="B15" s="124"/>
      <c r="C15" s="125"/>
      <c r="D15" s="146"/>
      <c r="E15" s="289"/>
      <c r="F15" s="126"/>
      <c r="G15" s="126"/>
      <c r="H15" s="149"/>
    </row>
    <row r="16" spans="1:10" s="89" customFormat="1" ht="18" customHeight="1">
      <c r="A16" s="236">
        <v>2</v>
      </c>
      <c r="B16" s="237"/>
      <c r="C16" s="238"/>
      <c r="D16" s="236"/>
      <c r="E16" s="291"/>
      <c r="F16" s="237"/>
      <c r="G16" s="239" t="e">
        <f>G18</f>
        <v>#VALUE!</v>
      </c>
      <c r="H16" s="240" t="e">
        <f>G16/$G$50</f>
        <v>#VALUE!</v>
      </c>
    </row>
    <row r="17" spans="1:10" ht="5.0999999999999996" customHeight="1">
      <c r="A17" s="130"/>
      <c r="B17" s="131"/>
      <c r="C17" s="128"/>
      <c r="D17" s="122"/>
      <c r="E17" s="293"/>
      <c r="F17" s="122"/>
      <c r="G17" s="122"/>
      <c r="H17" s="148"/>
    </row>
    <row r="18" spans="1:10" s="89" customFormat="1" ht="18" customHeight="1">
      <c r="A18" s="241" t="s">
        <v>46</v>
      </c>
      <c r="B18" s="242"/>
      <c r="C18" s="243"/>
      <c r="D18" s="241"/>
      <c r="E18" s="294"/>
      <c r="F18" s="243"/>
      <c r="G18" s="244" t="e">
        <f>SUM(G19:G24)</f>
        <v>#VALUE!</v>
      </c>
      <c r="H18" s="256" t="e">
        <f>SUM(H19:H24)</f>
        <v>#VALUE!</v>
      </c>
    </row>
    <row r="19" spans="1:10" s="90" customFormat="1" ht="16.149999999999999" customHeight="1">
      <c r="A19" s="172" t="s">
        <v>179</v>
      </c>
      <c r="B19" s="168" t="str">
        <f>Custos!B22</f>
        <v>Advogado sênior</v>
      </c>
      <c r="C19" s="169" t="e">
        <f>Custos!G22</f>
        <v>#VALUE!</v>
      </c>
      <c r="D19" s="167" t="s">
        <v>181</v>
      </c>
      <c r="E19" s="268">
        <v>5</v>
      </c>
      <c r="F19" s="169" t="e">
        <f t="shared" ref="F19:F24" si="2">ROUND(C19*E19,2)</f>
        <v>#VALUE!</v>
      </c>
      <c r="G19" s="169" t="e">
        <f>ROUND((F19*K!$G$23),2)</f>
        <v>#VALUE!</v>
      </c>
      <c r="H19" s="175" t="e">
        <f t="shared" ref="H19:H24" si="3">G19/$G$50</f>
        <v>#VALUE!</v>
      </c>
    </row>
    <row r="20" spans="1:10" s="90" customFormat="1" ht="16.149999999999999" customHeight="1">
      <c r="A20" s="172" t="s">
        <v>182</v>
      </c>
      <c r="B20" s="168" t="str">
        <f>Custos!B23</f>
        <v>Engenheiro de Projetos (Elétrico)</v>
      </c>
      <c r="C20" s="169" t="e">
        <f>Custos!G23</f>
        <v>#VALUE!</v>
      </c>
      <c r="D20" s="167" t="s">
        <v>181</v>
      </c>
      <c r="E20" s="268">
        <v>10</v>
      </c>
      <c r="F20" s="169" t="e">
        <f t="shared" si="2"/>
        <v>#VALUE!</v>
      </c>
      <c r="G20" s="169" t="e">
        <f>ROUND((F20*K!$G$23),2)</f>
        <v>#VALUE!</v>
      </c>
      <c r="H20" s="175" t="e">
        <f t="shared" si="3"/>
        <v>#VALUE!</v>
      </c>
    </row>
    <row r="21" spans="1:10" s="90" customFormat="1" ht="16.149999999999999" customHeight="1">
      <c r="A21" s="172" t="s">
        <v>184</v>
      </c>
      <c r="B21" s="168" t="str">
        <f>Custos!B24</f>
        <v>Engenheiro de Projeto (Calculista)</v>
      </c>
      <c r="C21" s="169" t="e">
        <f>Custos!G24</f>
        <v>#VALUE!</v>
      </c>
      <c r="D21" s="167" t="s">
        <v>181</v>
      </c>
      <c r="E21" s="268">
        <v>10</v>
      </c>
      <c r="F21" s="169" t="e">
        <f t="shared" si="2"/>
        <v>#VALUE!</v>
      </c>
      <c r="G21" s="169" t="e">
        <f>ROUND((F21*K!$G$23),2)</f>
        <v>#VALUE!</v>
      </c>
      <c r="H21" s="175" t="e">
        <f t="shared" si="3"/>
        <v>#VALUE!</v>
      </c>
    </row>
    <row r="22" spans="1:10" s="90" customFormat="1" ht="16.149999999999999" customHeight="1">
      <c r="A22" s="172" t="s">
        <v>186</v>
      </c>
      <c r="B22" s="168" t="str">
        <f>Custos!B25</f>
        <v>Engenheiro de Projetos (Mecânico)</v>
      </c>
      <c r="C22" s="169" t="e">
        <f>Custos!G25</f>
        <v>#VALUE!</v>
      </c>
      <c r="D22" s="167" t="s">
        <v>181</v>
      </c>
      <c r="E22" s="268">
        <v>10</v>
      </c>
      <c r="F22" s="169" t="e">
        <f t="shared" si="2"/>
        <v>#VALUE!</v>
      </c>
      <c r="G22" s="169" t="e">
        <f>ROUND((F22*K!$G$23),2)</f>
        <v>#VALUE!</v>
      </c>
      <c r="H22" s="175" t="e">
        <f t="shared" si="3"/>
        <v>#VALUE!</v>
      </c>
    </row>
    <row r="23" spans="1:10" s="90" customFormat="1" ht="16.149999999999999" customHeight="1">
      <c r="A23" s="172" t="s">
        <v>188</v>
      </c>
      <c r="B23" s="168" t="str">
        <f>Custos!B26</f>
        <v>Engenheiro ambiental</v>
      </c>
      <c r="C23" s="169" t="e">
        <f>Custos!G26</f>
        <v>#VALUE!</v>
      </c>
      <c r="D23" s="167" t="s">
        <v>181</v>
      </c>
      <c r="E23" s="268">
        <v>0</v>
      </c>
      <c r="F23" s="169" t="e">
        <f t="shared" si="2"/>
        <v>#VALUE!</v>
      </c>
      <c r="G23" s="169" t="e">
        <f>ROUND((F23*K!$G$23),2)</f>
        <v>#VALUE!</v>
      </c>
      <c r="H23" s="175" t="e">
        <f t="shared" si="3"/>
        <v>#VALUE!</v>
      </c>
    </row>
    <row r="24" spans="1:10" s="90" customFormat="1" ht="16.149999999999999" customHeight="1">
      <c r="A24" s="172" t="s">
        <v>197</v>
      </c>
      <c r="B24" s="168" t="str">
        <f>Custos!B27</f>
        <v>Técnico em geoprocessamento</v>
      </c>
      <c r="C24" s="169" t="e">
        <f>Custos!G27</f>
        <v>#VALUE!</v>
      </c>
      <c r="D24" s="167" t="s">
        <v>181</v>
      </c>
      <c r="E24" s="268">
        <v>0</v>
      </c>
      <c r="F24" s="169" t="e">
        <f t="shared" si="2"/>
        <v>#VALUE!</v>
      </c>
      <c r="G24" s="169" t="e">
        <f>ROUND((F24*K!$G$23),2)</f>
        <v>#VALUE!</v>
      </c>
      <c r="H24" s="175" t="e">
        <f t="shared" si="3"/>
        <v>#VALUE!</v>
      </c>
      <c r="J24" s="91"/>
    </row>
    <row r="25" spans="1:10" ht="6" customHeight="1">
      <c r="A25" s="123"/>
      <c r="B25" s="124"/>
      <c r="C25" s="125"/>
      <c r="D25" s="146"/>
      <c r="E25" s="289"/>
      <c r="F25" s="126"/>
      <c r="G25" s="126"/>
      <c r="H25" s="149"/>
    </row>
    <row r="26" spans="1:10" s="89" customFormat="1" ht="18" customHeight="1">
      <c r="A26" s="245">
        <v>3</v>
      </c>
      <c r="B26" s="143"/>
      <c r="C26" s="144"/>
      <c r="D26" s="142"/>
      <c r="E26" s="295"/>
      <c r="F26" s="143"/>
      <c r="G26" s="250" t="e">
        <f>G28+G33+G39</f>
        <v>#VALUE!</v>
      </c>
      <c r="H26" s="240" t="e">
        <f>G26/$G$50</f>
        <v>#VALUE!</v>
      </c>
    </row>
    <row r="27" spans="1:10" ht="5.0999999999999996" customHeight="1">
      <c r="A27" s="130"/>
      <c r="B27" s="131"/>
      <c r="C27" s="128"/>
      <c r="D27" s="122"/>
      <c r="E27" s="293"/>
      <c r="F27" s="122"/>
      <c r="G27" s="122"/>
      <c r="H27" s="148"/>
    </row>
    <row r="28" spans="1:10" s="89" customFormat="1" ht="18" customHeight="1">
      <c r="A28" s="139" t="s">
        <v>58</v>
      </c>
      <c r="B28" s="140"/>
      <c r="C28" s="141"/>
      <c r="D28" s="139"/>
      <c r="E28" s="292"/>
      <c r="F28" s="140"/>
      <c r="G28" s="251" t="e">
        <f>SUM(G29:G31)</f>
        <v>#VALUE!</v>
      </c>
      <c r="H28" s="255" t="e">
        <f>SUM(H29:H31)</f>
        <v>#VALUE!</v>
      </c>
    </row>
    <row r="29" spans="1:10" s="90" customFormat="1">
      <c r="A29" s="172" t="s">
        <v>179</v>
      </c>
      <c r="B29" s="264" t="str">
        <f>Custos!B38</f>
        <v>Mobilização e desmobilização de equipe de topografia</v>
      </c>
      <c r="C29" s="174" t="str">
        <f>Custos!G38</f>
        <v>preencher</v>
      </c>
      <c r="D29" s="212" t="str">
        <f>Custos!E38</f>
        <v>km</v>
      </c>
      <c r="E29" s="407">
        <v>0</v>
      </c>
      <c r="F29" s="169" t="e">
        <f>ROUND(C29*E29,2)</f>
        <v>#VALUE!</v>
      </c>
      <c r="G29" s="169" t="e">
        <f>ROUND((F29*K!$G$24),2)</f>
        <v>#VALUE!</v>
      </c>
      <c r="H29" s="176" t="e">
        <f>G29/$G$50</f>
        <v>#VALUE!</v>
      </c>
    </row>
    <row r="30" spans="1:10" s="90" customFormat="1">
      <c r="A30" s="172" t="s">
        <v>182</v>
      </c>
      <c r="B30" s="264" t="str">
        <f>Custos!B39</f>
        <v>Equipe de topografia de campo</v>
      </c>
      <c r="C30" s="174" t="str">
        <f>Custos!G39</f>
        <v>preencher</v>
      </c>
      <c r="D30" s="212" t="str">
        <f>Custos!E39</f>
        <v>mês</v>
      </c>
      <c r="E30" s="407">
        <v>0</v>
      </c>
      <c r="F30" s="169" t="e">
        <f>ROUND(C30*E30,2)</f>
        <v>#VALUE!</v>
      </c>
      <c r="G30" s="169" t="e">
        <f>ROUND((F30*K!$G$24),2)</f>
        <v>#VALUE!</v>
      </c>
      <c r="H30" s="176" t="e">
        <f>G30/$G$50</f>
        <v>#VALUE!</v>
      </c>
    </row>
    <row r="31" spans="1:10" s="90" customFormat="1">
      <c r="A31" s="172" t="s">
        <v>184</v>
      </c>
      <c r="B31" s="264" t="str">
        <f>Custos!B40</f>
        <v>Equipe de topografia de escritório</v>
      </c>
      <c r="C31" s="174" t="str">
        <f>Custos!G40</f>
        <v>preencher</v>
      </c>
      <c r="D31" s="212" t="str">
        <f>Custos!E40</f>
        <v>mês</v>
      </c>
      <c r="E31" s="407">
        <v>0</v>
      </c>
      <c r="F31" s="169" t="e">
        <f>ROUND(C31*E31,2)</f>
        <v>#VALUE!</v>
      </c>
      <c r="G31" s="169" t="e">
        <f>ROUND((F31*K!$G$24),2)</f>
        <v>#VALUE!</v>
      </c>
      <c r="H31" s="176" t="e">
        <f>G31/$G$50</f>
        <v>#VALUE!</v>
      </c>
    </row>
    <row r="32" spans="1:10" ht="10.5" customHeight="1">
      <c r="A32" s="130"/>
      <c r="B32" s="131"/>
      <c r="C32" s="128"/>
      <c r="D32" s="212"/>
      <c r="E32" s="293"/>
      <c r="F32" s="122"/>
      <c r="G32" s="122"/>
      <c r="H32" s="148"/>
    </row>
    <row r="33" spans="1:8" s="89" customFormat="1" ht="18" customHeight="1">
      <c r="A33" s="119" t="s">
        <v>59</v>
      </c>
      <c r="B33" s="132"/>
      <c r="C33" s="121"/>
      <c r="D33" s="119"/>
      <c r="E33" s="296"/>
      <c r="F33" s="120"/>
      <c r="G33" s="133" t="e">
        <f>SUM(G35:G36)</f>
        <v>#VALUE!</v>
      </c>
      <c r="H33" s="254" t="e">
        <f>SUM(H35:H36)</f>
        <v>#VALUE!</v>
      </c>
    </row>
    <row r="34" spans="1:8" s="90" customFormat="1">
      <c r="A34" s="172" t="s">
        <v>179</v>
      </c>
      <c r="B34" s="264" t="str">
        <f>Custos!B32</f>
        <v>Sondagem a percussao - mobilizacao e desmobilizacao</v>
      </c>
      <c r="C34" s="174" t="str">
        <f>Custos!G32</f>
        <v>preencher</v>
      </c>
      <c r="D34" s="212" t="str">
        <f>Custos!E32</f>
        <v>unidade</v>
      </c>
      <c r="E34" s="407">
        <v>0</v>
      </c>
      <c r="F34" s="169" t="e">
        <f>ROUND(C34*E34,2)</f>
        <v>#VALUE!</v>
      </c>
      <c r="G34" s="169" t="e">
        <f>ROUND((F34*K!$G$24),2)</f>
        <v>#VALUE!</v>
      </c>
      <c r="H34" s="176" t="e">
        <f>G34/$G$50</f>
        <v>#VALUE!</v>
      </c>
    </row>
    <row r="35" spans="1:8" s="90" customFormat="1" ht="26.45" customHeight="1">
      <c r="A35" s="172" t="s">
        <v>182</v>
      </c>
      <c r="B35" s="277" t="str">
        <f>Custos!B33</f>
        <v>Sondagem a percussao - adicional de mobilizacao e desmobilizacao</v>
      </c>
      <c r="C35" s="174" t="str">
        <f>Custos!G33</f>
        <v>preencher</v>
      </c>
      <c r="D35" s="265" t="str">
        <f>Custos!E33</f>
        <v>km</v>
      </c>
      <c r="E35" s="407">
        <v>0</v>
      </c>
      <c r="F35" s="169" t="e">
        <f>ROUND(C35*E35,2)</f>
        <v>#VALUE!</v>
      </c>
      <c r="G35" s="169" t="e">
        <f>ROUND((F35*K!$G$24),2)</f>
        <v>#VALUE!</v>
      </c>
      <c r="H35" s="175" t="e">
        <f>G35/$G$50</f>
        <v>#VALUE!</v>
      </c>
    </row>
    <row r="36" spans="1:8" s="90" customFormat="1">
      <c r="A36" s="172" t="s">
        <v>184</v>
      </c>
      <c r="B36" s="264" t="str">
        <f>Custos!B34</f>
        <v>Sondagem a percussao - instalacao por furo</v>
      </c>
      <c r="C36" s="174" t="str">
        <f>Custos!G34</f>
        <v>preencher</v>
      </c>
      <c r="D36" s="212" t="str">
        <f>Custos!E34</f>
        <v>unidade</v>
      </c>
      <c r="E36" s="407">
        <v>0</v>
      </c>
      <c r="F36" s="169" t="e">
        <f>ROUND(C36*E36,2)</f>
        <v>#VALUE!</v>
      </c>
      <c r="G36" s="169" t="e">
        <f>ROUND((F36*K!$G$24),2)</f>
        <v>#VALUE!</v>
      </c>
      <c r="H36" s="176" t="e">
        <f>G36/$G$50</f>
        <v>#VALUE!</v>
      </c>
    </row>
    <row r="37" spans="1:8" s="90" customFormat="1" ht="26.45" customHeight="1">
      <c r="A37" s="172" t="s">
        <v>186</v>
      </c>
      <c r="B37" s="277" t="str">
        <f>Custos!B35</f>
        <v>Sondagem a percussao ø2.1/2" - perfuracao e retirada de amostras</v>
      </c>
      <c r="C37" s="174" t="str">
        <f>Custos!G35</f>
        <v>preencher</v>
      </c>
      <c r="D37" s="265" t="str">
        <f>Custos!E35</f>
        <v>m</v>
      </c>
      <c r="E37" s="407">
        <v>0</v>
      </c>
      <c r="F37" s="169" t="e">
        <f>ROUND(C37*E37,2)</f>
        <v>#VALUE!</v>
      </c>
      <c r="G37" s="169" t="e">
        <f>ROUND((F37*K!$G$24),2)</f>
        <v>#VALUE!</v>
      </c>
      <c r="H37" s="176" t="e">
        <f>G37/$G$50</f>
        <v>#VALUE!</v>
      </c>
    </row>
    <row r="38" spans="1:8" ht="6" customHeight="1">
      <c r="A38" s="123"/>
      <c r="B38" s="124"/>
      <c r="C38" s="125"/>
      <c r="D38" s="146"/>
      <c r="E38" s="407"/>
      <c r="F38" s="126"/>
      <c r="G38" s="126"/>
      <c r="H38" s="149"/>
    </row>
    <row r="39" spans="1:8" s="89" customFormat="1" ht="18" customHeight="1">
      <c r="A39" s="119" t="s">
        <v>60</v>
      </c>
      <c r="B39" s="132"/>
      <c r="C39" s="121"/>
      <c r="D39" s="119"/>
      <c r="E39" s="296"/>
      <c r="F39" s="120"/>
      <c r="G39" s="133" t="e">
        <f>SUM(G40:G41)</f>
        <v>#VALUE!</v>
      </c>
      <c r="H39" s="254" t="e">
        <f>SUM(H40:H41)</f>
        <v>#VALUE!</v>
      </c>
    </row>
    <row r="40" spans="1:8" s="90" customFormat="1">
      <c r="A40" s="172" t="s">
        <v>179</v>
      </c>
      <c r="B40" s="264" t="str">
        <f>Custos!B43</f>
        <v>Equipe de topografia de campo</v>
      </c>
      <c r="C40" s="174" t="str">
        <f>Custos!G43</f>
        <v>preencher</v>
      </c>
      <c r="D40" s="212" t="str">
        <f>Custos!E43</f>
        <v>mês</v>
      </c>
      <c r="E40" s="407">
        <v>0</v>
      </c>
      <c r="F40" s="169" t="e">
        <f>ROUND(C40*E40,2)</f>
        <v>#VALUE!</v>
      </c>
      <c r="G40" s="169" t="e">
        <f>ROUND((F40*K!$G$24),2)</f>
        <v>#VALUE!</v>
      </c>
      <c r="H40" s="176" t="e">
        <f>G40/$G$50</f>
        <v>#VALUE!</v>
      </c>
    </row>
    <row r="41" spans="1:8" s="90" customFormat="1">
      <c r="A41" s="172" t="s">
        <v>182</v>
      </c>
      <c r="B41" s="264" t="str">
        <f>Custos!B44</f>
        <v>Equipe de topografia de escritório</v>
      </c>
      <c r="C41" s="174" t="str">
        <f>Custos!G44</f>
        <v>preencher</v>
      </c>
      <c r="D41" s="212" t="str">
        <f>Custos!E44</f>
        <v>mês</v>
      </c>
      <c r="E41" s="407">
        <v>0</v>
      </c>
      <c r="F41" s="169" t="e">
        <f>ROUND(C41*E41,2)</f>
        <v>#VALUE!</v>
      </c>
      <c r="G41" s="169" t="e">
        <f>ROUND((F41*K!$G$24),2)</f>
        <v>#VALUE!</v>
      </c>
      <c r="H41" s="176" t="e">
        <f>G41/$G$50</f>
        <v>#VALUE!</v>
      </c>
    </row>
    <row r="42" spans="1:8" ht="5.0999999999999996" customHeight="1">
      <c r="A42" s="172"/>
      <c r="B42" s="134"/>
      <c r="C42" s="128"/>
      <c r="D42" s="167"/>
      <c r="E42" s="293"/>
      <c r="F42" s="122"/>
      <c r="G42" s="122"/>
      <c r="H42" s="148"/>
    </row>
    <row r="43" spans="1:8" s="89" customFormat="1" ht="18" customHeight="1">
      <c r="A43" s="245" t="s">
        <v>255</v>
      </c>
      <c r="B43" s="143"/>
      <c r="C43" s="144"/>
      <c r="D43" s="142"/>
      <c r="E43" s="295"/>
      <c r="F43" s="143"/>
      <c r="G43" s="250" t="e">
        <f>G45</f>
        <v>#VALUE!</v>
      </c>
      <c r="H43" s="240" t="e">
        <f>G43/$G$50</f>
        <v>#VALUE!</v>
      </c>
    </row>
    <row r="44" spans="1:8" ht="5.0999999999999996" customHeight="1">
      <c r="A44" s="246"/>
      <c r="B44" s="134"/>
      <c r="C44" s="128"/>
      <c r="D44" s="122"/>
      <c r="E44" s="293"/>
      <c r="F44" s="122"/>
      <c r="G44" s="122"/>
      <c r="H44" s="148"/>
    </row>
    <row r="45" spans="1:8" s="89" customFormat="1" ht="18" customHeight="1">
      <c r="A45" s="119" t="s">
        <v>71</v>
      </c>
      <c r="B45" s="120"/>
      <c r="C45" s="121"/>
      <c r="D45" s="119"/>
      <c r="E45" s="296"/>
      <c r="F45" s="120"/>
      <c r="G45" s="138" t="e">
        <f>SUM(G46:G48)</f>
        <v>#VALUE!</v>
      </c>
      <c r="H45" s="253" t="e">
        <f>SUM(H46:H48)</f>
        <v>#VALUE!</v>
      </c>
    </row>
    <row r="46" spans="1:8" s="90" customFormat="1">
      <c r="A46" s="172" t="s">
        <v>179</v>
      </c>
      <c r="B46" s="173" t="str">
        <f>Custos!B49</f>
        <v>Veículo tipo pick-up 4X4</v>
      </c>
      <c r="C46" s="174" t="e">
        <f>'Produto Consolidado'!C46</f>
        <v>#VALUE!</v>
      </c>
      <c r="D46" s="212" t="str">
        <f>'P1'!D46</f>
        <v>R$/dia</v>
      </c>
      <c r="E46" s="407">
        <v>2</v>
      </c>
      <c r="F46" s="169" t="e">
        <f>ROUND(C46*E46,2)</f>
        <v>#VALUE!</v>
      </c>
      <c r="G46" s="169" t="e">
        <f>ROUND((F46*K!$G$25),2)</f>
        <v>#VALUE!</v>
      </c>
      <c r="H46" s="176" t="e">
        <f>G46/$G$50</f>
        <v>#VALUE!</v>
      </c>
    </row>
    <row r="47" spans="1:8" s="90" customFormat="1" ht="16.149999999999999" customHeight="1">
      <c r="A47" s="172" t="s">
        <v>182</v>
      </c>
      <c r="B47" s="173" t="str">
        <f>Custos!B50</f>
        <v>Refeições</v>
      </c>
      <c r="C47" s="174" t="str">
        <f>'P1'!C47</f>
        <v>preencher</v>
      </c>
      <c r="D47" s="212" t="str">
        <f>'P1'!D47</f>
        <v>unidade</v>
      </c>
      <c r="E47" s="407">
        <v>6</v>
      </c>
      <c r="F47" s="169" t="e">
        <f>ROUND(C47*E47,2)</f>
        <v>#VALUE!</v>
      </c>
      <c r="G47" s="169" t="e">
        <f>ROUND((F47*K!$G$25),2)</f>
        <v>#VALUE!</v>
      </c>
      <c r="H47" s="176" t="e">
        <f>G47/$G$50</f>
        <v>#VALUE!</v>
      </c>
    </row>
    <row r="48" spans="1:8" s="90" customFormat="1" ht="16.149999999999999" customHeight="1">
      <c r="A48" s="172" t="s">
        <v>184</v>
      </c>
      <c r="B48" s="173" t="str">
        <f>Custos!B51</f>
        <v>Diárias</v>
      </c>
      <c r="C48" s="174" t="str">
        <f>'P1'!C48</f>
        <v>preencher</v>
      </c>
      <c r="D48" s="212" t="str">
        <f>'P1'!D48</f>
        <v>unidade</v>
      </c>
      <c r="E48" s="407">
        <v>3</v>
      </c>
      <c r="F48" s="169" t="e">
        <f>ROUND(C48*E48,2)</f>
        <v>#VALUE!</v>
      </c>
      <c r="G48" s="169" t="e">
        <f>ROUND((F48*K!$G$25),2)</f>
        <v>#VALUE!</v>
      </c>
      <c r="H48" s="176" t="e">
        <f>G48/$G$50</f>
        <v>#VALUE!</v>
      </c>
    </row>
    <row r="49" spans="1:9" ht="6" customHeight="1">
      <c r="A49" s="117"/>
      <c r="B49" s="135"/>
      <c r="C49" s="136"/>
      <c r="D49" s="146"/>
      <c r="E49" s="126"/>
      <c r="F49" s="126"/>
      <c r="G49" s="137"/>
      <c r="H49" s="150"/>
    </row>
    <row r="50" spans="1:9" ht="18" customHeight="1">
      <c r="A50" s="464" t="s">
        <v>256</v>
      </c>
      <c r="B50" s="464"/>
      <c r="C50" s="247"/>
      <c r="D50" s="248"/>
      <c r="E50" s="249"/>
      <c r="F50" s="247" t="s">
        <v>237</v>
      </c>
      <c r="G50" s="247" t="e">
        <f>ROUND((G7+G16+G26+G43),2)</f>
        <v>#VALUE!</v>
      </c>
      <c r="H50" s="252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0"/>
    </row>
    <row r="52" spans="1:9" ht="20.100000000000001" customHeight="1">
      <c r="A52" s="465" t="s">
        <v>286</v>
      </c>
      <c r="B52" s="465"/>
      <c r="C52" s="465"/>
      <c r="D52" s="465"/>
      <c r="E52" s="465"/>
      <c r="F52" s="465"/>
      <c r="G52" s="465"/>
      <c r="H52" s="465"/>
    </row>
    <row r="53" spans="1:9" ht="24" customHeight="1">
      <c r="A53" s="465" t="s">
        <v>287</v>
      </c>
      <c r="B53" s="465"/>
      <c r="C53" s="465"/>
      <c r="D53" s="465"/>
      <c r="E53" s="465"/>
      <c r="F53" s="465"/>
      <c r="G53" s="465"/>
      <c r="H53" s="465"/>
    </row>
    <row r="54" spans="1:9" ht="13.15" customHeight="1">
      <c r="A54" s="465" t="s">
        <v>288</v>
      </c>
      <c r="B54" s="465"/>
      <c r="C54" s="465"/>
      <c r="D54" s="465"/>
      <c r="E54" s="465"/>
      <c r="F54" s="465"/>
      <c r="G54" s="465"/>
      <c r="H54" s="465"/>
    </row>
    <row r="55" spans="1:9" ht="13.15" customHeight="1">
      <c r="A55" s="118"/>
      <c r="B55" s="461"/>
      <c r="C55" s="461"/>
      <c r="D55" s="461"/>
      <c r="E55" s="461"/>
      <c r="F55" s="461"/>
      <c r="G55" s="461"/>
      <c r="H55" s="461"/>
    </row>
    <row r="56" spans="1:9" ht="13.15" customHeight="1">
      <c r="A56" s="118"/>
      <c r="B56" s="225"/>
      <c r="C56" s="225"/>
      <c r="D56" s="225"/>
      <c r="E56" s="225"/>
      <c r="F56" s="225"/>
      <c r="G56" s="225"/>
      <c r="H56" s="225"/>
    </row>
    <row r="57" spans="1:9" ht="13.15" customHeight="1">
      <c r="A57" s="459"/>
      <c r="B57" s="459"/>
      <c r="C57" s="459"/>
      <c r="D57" s="459"/>
      <c r="E57" s="459"/>
      <c r="F57" s="459"/>
      <c r="G57" s="225"/>
      <c r="H57" s="225"/>
    </row>
    <row r="58" spans="1:9" ht="13.15" customHeight="1">
      <c r="A58" s="460"/>
      <c r="B58" s="460"/>
      <c r="C58" s="460"/>
      <c r="D58" s="460"/>
      <c r="E58" s="460"/>
      <c r="F58" s="460"/>
      <c r="G58" s="225"/>
      <c r="H58" s="225"/>
    </row>
    <row r="59" spans="1:9" ht="13.15" customHeight="1">
      <c r="A59" s="460"/>
      <c r="B59" s="460"/>
      <c r="C59" s="460"/>
      <c r="D59" s="460"/>
      <c r="E59" s="460"/>
      <c r="F59" s="460"/>
      <c r="G59" s="225"/>
      <c r="H59" s="225"/>
    </row>
    <row r="60" spans="1:9">
      <c r="A60" s="331"/>
      <c r="B60" s="97"/>
      <c r="D60" s="97"/>
      <c r="E60" s="97"/>
      <c r="I60"/>
    </row>
    <row r="61" spans="1:9" ht="15" customHeight="1">
      <c r="A61" s="459"/>
      <c r="B61" s="459"/>
      <c r="C61" s="459"/>
      <c r="D61" s="459"/>
      <c r="E61" s="459"/>
      <c r="F61" s="459"/>
      <c r="G61" s="271"/>
      <c r="H61" s="258"/>
      <c r="I61"/>
    </row>
    <row r="62" spans="1:9" ht="15" customHeight="1">
      <c r="A62" s="460"/>
      <c r="B62" s="460"/>
      <c r="C62" s="460"/>
      <c r="D62" s="460"/>
      <c r="E62" s="460"/>
      <c r="F62" s="460"/>
      <c r="G62" s="257"/>
      <c r="H62" s="258"/>
    </row>
    <row r="63" spans="1:9" ht="15" customHeight="1">
      <c r="A63" s="460"/>
      <c r="B63" s="460"/>
      <c r="C63" s="460"/>
      <c r="D63" s="460"/>
      <c r="E63" s="460"/>
      <c r="F63" s="460"/>
      <c r="G63" s="126"/>
      <c r="H63" s="259"/>
      <c r="I63" s="89"/>
    </row>
  </sheetData>
  <sheetProtection algorithmName="SHA-512" hashValue="KGgxf/I8wp6X1gYUuG/nuInEK1RdZe4ZsXQwOIdr6BTSuQhhh7+wnQEXWCIhgoHxSXpQV9fmfBz1JVt/kDaV5Q==" saltValue="MWAr8vrvD8sx3ba//s/uCA==" spinCount="100000" sheet="1" objects="1" scenarios="1"/>
  <mergeCells count="19">
    <mergeCell ref="A54:H54"/>
    <mergeCell ref="B1:H1"/>
    <mergeCell ref="C6:D6"/>
    <mergeCell ref="A50:B50"/>
    <mergeCell ref="A52:H52"/>
    <mergeCell ref="A53:H53"/>
    <mergeCell ref="A61:B61"/>
    <mergeCell ref="A62:B62"/>
    <mergeCell ref="A63:B63"/>
    <mergeCell ref="B55:H55"/>
    <mergeCell ref="C57:F57"/>
    <mergeCell ref="C58:F58"/>
    <mergeCell ref="C59:F59"/>
    <mergeCell ref="C61:F61"/>
    <mergeCell ref="C62:F62"/>
    <mergeCell ref="C63:F63"/>
    <mergeCell ref="A57:B57"/>
    <mergeCell ref="A58:B58"/>
    <mergeCell ref="A59:B59"/>
  </mergeCells>
  <conditionalFormatting sqref="A52:H54">
    <cfRule type="containsText" dxfId="6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Planilha13">
    <tabColor theme="8" tint="-0.249977111117893"/>
    <pageSetUpPr fitToPage="1"/>
  </sheetPr>
  <dimension ref="A1:J63"/>
  <sheetViews>
    <sheetView showGridLines="0" view="pageBreakPreview" zoomScale="60" zoomScaleNormal="100" workbookViewId="0">
      <selection activeCell="E10" sqref="E10:E48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2" t="s">
        <v>169</v>
      </c>
      <c r="C1" s="462"/>
      <c r="D1" s="462"/>
      <c r="E1" s="462"/>
      <c r="F1" s="462"/>
      <c r="G1" s="462"/>
      <c r="H1" s="462"/>
    </row>
    <row r="2" spans="1:10" s="89" customFormat="1" ht="15" customHeight="1">
      <c r="A2" s="77" t="s">
        <v>261</v>
      </c>
      <c r="C2" s="394" t="s">
        <v>243</v>
      </c>
      <c r="D2" s="145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5"/>
      <c r="H3" s="98"/>
    </row>
    <row r="4" spans="1:10" s="89" customFormat="1" ht="15" customHeight="1">
      <c r="A4" s="77" t="s">
        <v>135</v>
      </c>
      <c r="C4" s="80" t="str">
        <f>Capa!B30</f>
        <v>Resplendor/MG</v>
      </c>
      <c r="D4" s="145"/>
      <c r="G4" s="87"/>
      <c r="H4" s="86"/>
    </row>
    <row r="5" spans="1:10" ht="6" customHeight="1">
      <c r="A5" s="123"/>
      <c r="B5" s="124"/>
      <c r="C5" s="125"/>
      <c r="D5" s="146"/>
      <c r="E5" s="127"/>
      <c r="F5" s="126"/>
      <c r="G5" s="126"/>
      <c r="H5" s="149"/>
    </row>
    <row r="6" spans="1:10" s="100" customFormat="1" ht="47.45" customHeight="1">
      <c r="A6" s="232" t="s">
        <v>248</v>
      </c>
      <c r="B6" s="233" t="s">
        <v>249</v>
      </c>
      <c r="C6" s="463" t="s">
        <v>250</v>
      </c>
      <c r="D6" s="463"/>
      <c r="E6" s="234" t="s">
        <v>251</v>
      </c>
      <c r="F6" s="235" t="s">
        <v>252</v>
      </c>
      <c r="G6" s="235" t="s">
        <v>253</v>
      </c>
      <c r="H6" s="235" t="s">
        <v>254</v>
      </c>
    </row>
    <row r="7" spans="1:10" s="89" customFormat="1" ht="18" customHeight="1">
      <c r="A7" s="236">
        <v>1</v>
      </c>
      <c r="B7" s="237"/>
      <c r="C7" s="238"/>
      <c r="D7" s="236"/>
      <c r="E7" s="237"/>
      <c r="F7" s="237"/>
      <c r="G7" s="239" t="e">
        <f>G9</f>
        <v>#VALUE!</v>
      </c>
      <c r="H7" s="240" t="e">
        <f>G7/$G$50</f>
        <v>#VALUE!</v>
      </c>
    </row>
    <row r="8" spans="1:10" ht="6" customHeight="1">
      <c r="A8" s="123"/>
      <c r="B8" s="124"/>
      <c r="C8" s="125"/>
      <c r="D8" s="146"/>
      <c r="E8" s="127"/>
      <c r="F8" s="126"/>
      <c r="G8" s="126"/>
      <c r="H8" s="149"/>
    </row>
    <row r="9" spans="1:10" s="89" customFormat="1" ht="18" customHeight="1">
      <c r="A9" s="139" t="s">
        <v>28</v>
      </c>
      <c r="B9" s="140"/>
      <c r="C9" s="141"/>
      <c r="D9" s="139"/>
      <c r="E9" s="140"/>
      <c r="F9" s="140"/>
      <c r="G9" s="251" t="e">
        <f>SUM(G10:G14)</f>
        <v>#VALUE!</v>
      </c>
      <c r="H9" s="255" t="e">
        <f>SUM(H10:H14)</f>
        <v>#VALUE!</v>
      </c>
    </row>
    <row r="10" spans="1:10" s="90" customFormat="1" ht="16.149999999999999" customHeight="1">
      <c r="A10" s="172" t="s">
        <v>179</v>
      </c>
      <c r="B10" s="168" t="str">
        <f>Custos!B13</f>
        <v>Engenheiro Coordenador</v>
      </c>
      <c r="C10" s="169" t="e">
        <f>Custos!G13</f>
        <v>#VALUE!</v>
      </c>
      <c r="D10" s="167" t="s">
        <v>181</v>
      </c>
      <c r="E10" s="268">
        <v>0</v>
      </c>
      <c r="F10" s="169" t="e">
        <f>ROUND(C10*E10,2)</f>
        <v>#VALUE!</v>
      </c>
      <c r="G10" s="169" t="e">
        <f>ROUND((F10*K!$G$22),2)</f>
        <v>#VALUE!</v>
      </c>
      <c r="H10" s="176" t="e">
        <f>G10/$G$50</f>
        <v>#VALUE!</v>
      </c>
      <c r="J10" s="91"/>
    </row>
    <row r="11" spans="1:10" s="90" customFormat="1" ht="16.149999999999999" customHeight="1">
      <c r="A11" s="172" t="s">
        <v>182</v>
      </c>
      <c r="B11" s="168" t="str">
        <f>Custos!B14</f>
        <v>Engenheiro de Projetos Pleno</v>
      </c>
      <c r="C11" s="171" t="e">
        <f>Custos!G14</f>
        <v>#VALUE!</v>
      </c>
      <c r="D11" s="170" t="s">
        <v>181</v>
      </c>
      <c r="E11" s="268">
        <v>5</v>
      </c>
      <c r="F11" s="169" t="e">
        <f>ROUND(C11*E11,2)</f>
        <v>#VALUE!</v>
      </c>
      <c r="G11" s="169" t="e">
        <f>ROUND((F11*K!$G$22),2)</f>
        <v>#VALUE!</v>
      </c>
      <c r="H11" s="176" t="e">
        <f>G11/$G$50</f>
        <v>#VALUE!</v>
      </c>
      <c r="J11" s="91"/>
    </row>
    <row r="12" spans="1:10" s="90" customFormat="1" ht="16.149999999999999" customHeight="1">
      <c r="A12" s="172" t="s">
        <v>184</v>
      </c>
      <c r="B12" s="168" t="str">
        <f>Custos!B15</f>
        <v>Engenheiro de Projetos Júnior</v>
      </c>
      <c r="C12" s="171" t="e">
        <f>Custos!G15</f>
        <v>#VALUE!</v>
      </c>
      <c r="D12" s="170" t="s">
        <v>181</v>
      </c>
      <c r="E12" s="268">
        <v>10</v>
      </c>
      <c r="F12" s="169" t="e">
        <f>ROUND(C12*E12,2)</f>
        <v>#VALUE!</v>
      </c>
      <c r="G12" s="169" t="e">
        <f>ROUND((F12*K!$G$22),2)</f>
        <v>#VALUE!</v>
      </c>
      <c r="H12" s="176" t="e">
        <f>G12/$G$50</f>
        <v>#VALUE!</v>
      </c>
      <c r="J12" s="91"/>
    </row>
    <row r="13" spans="1:10" s="90" customFormat="1" ht="16.149999999999999" customHeight="1">
      <c r="A13" s="172" t="s">
        <v>186</v>
      </c>
      <c r="B13" s="168" t="str">
        <f>Custos!B16</f>
        <v>Técnico cadista</v>
      </c>
      <c r="C13" s="171" t="e">
        <f>Custos!G16</f>
        <v>#VALUE!</v>
      </c>
      <c r="D13" s="170" t="s">
        <v>181</v>
      </c>
      <c r="E13" s="268">
        <v>20</v>
      </c>
      <c r="F13" s="169" t="e">
        <f>ROUND(C13*E13,2)</f>
        <v>#VALUE!</v>
      </c>
      <c r="G13" s="169" t="e">
        <f>ROUND((F13*K!$G$22),2)</f>
        <v>#VALUE!</v>
      </c>
      <c r="H13" s="176" t="e">
        <f>G13/$G$50</f>
        <v>#VALUE!</v>
      </c>
      <c r="J13" s="91"/>
    </row>
    <row r="14" spans="1:10" s="90" customFormat="1" ht="16.149999999999999" customHeight="1">
      <c r="A14" s="172" t="s">
        <v>188</v>
      </c>
      <c r="B14" s="168" t="str">
        <f>Custos!B17</f>
        <v>Auxiliar Administrativo</v>
      </c>
      <c r="C14" s="171" t="e">
        <f>Custos!G17</f>
        <v>#VALUE!</v>
      </c>
      <c r="D14" s="170" t="s">
        <v>181</v>
      </c>
      <c r="E14" s="268">
        <v>40</v>
      </c>
      <c r="F14" s="169" t="e">
        <f>ROUND(C14*E14,2)</f>
        <v>#VALUE!</v>
      </c>
      <c r="G14" s="169" t="e">
        <f>ROUND((F14*K!$G$22),2)</f>
        <v>#VALUE!</v>
      </c>
      <c r="H14" s="176" t="e">
        <f>G14/$G$50</f>
        <v>#VALUE!</v>
      </c>
      <c r="J14" s="91"/>
    </row>
    <row r="15" spans="1:10" ht="6" customHeight="1">
      <c r="A15" s="123"/>
      <c r="B15" s="124"/>
      <c r="C15" s="125"/>
      <c r="D15" s="146"/>
      <c r="E15" s="289"/>
      <c r="F15" s="126"/>
      <c r="G15" s="126"/>
      <c r="H15" s="149"/>
    </row>
    <row r="16" spans="1:10" s="89" customFormat="1" ht="18" customHeight="1">
      <c r="A16" s="236">
        <v>2</v>
      </c>
      <c r="B16" s="237"/>
      <c r="C16" s="238"/>
      <c r="D16" s="236"/>
      <c r="E16" s="291"/>
      <c r="F16" s="237"/>
      <c r="G16" s="239" t="e">
        <f>G18</f>
        <v>#VALUE!</v>
      </c>
      <c r="H16" s="240" t="e">
        <f>G16/$G$50</f>
        <v>#VALUE!</v>
      </c>
    </row>
    <row r="17" spans="1:10" ht="5.0999999999999996" customHeight="1">
      <c r="A17" s="129"/>
      <c r="B17" s="131"/>
      <c r="C17" s="128"/>
      <c r="D17" s="122"/>
      <c r="E17" s="293"/>
      <c r="F17" s="122"/>
      <c r="G17" s="122"/>
      <c r="H17" s="148"/>
    </row>
    <row r="18" spans="1:10" s="89" customFormat="1" ht="18" customHeight="1">
      <c r="A18" s="241" t="s">
        <v>46</v>
      </c>
      <c r="B18" s="242"/>
      <c r="C18" s="243"/>
      <c r="D18" s="241"/>
      <c r="E18" s="294"/>
      <c r="F18" s="243"/>
      <c r="G18" s="244" t="e">
        <f>SUM(G19:G24)</f>
        <v>#VALUE!</v>
      </c>
      <c r="H18" s="256" t="e">
        <f>SUM(H19:H24)</f>
        <v>#VALUE!</v>
      </c>
    </row>
    <row r="19" spans="1:10" s="90" customFormat="1" ht="16.149999999999999" customHeight="1">
      <c r="A19" s="172" t="s">
        <v>179</v>
      </c>
      <c r="B19" s="168" t="str">
        <f>Custos!B22</f>
        <v>Advogado sênior</v>
      </c>
      <c r="C19" s="169" t="e">
        <f>Custos!G22</f>
        <v>#VALUE!</v>
      </c>
      <c r="D19" s="167" t="s">
        <v>181</v>
      </c>
      <c r="E19" s="268">
        <v>0</v>
      </c>
      <c r="F19" s="169" t="e">
        <f t="shared" ref="F19:F24" si="0">ROUND(C19*E19,2)</f>
        <v>#VALUE!</v>
      </c>
      <c r="G19" s="169" t="e">
        <f>ROUND((F19*K!$G$23),2)</f>
        <v>#VALUE!</v>
      </c>
      <c r="H19" s="175" t="e">
        <f t="shared" ref="H19:H24" si="1">G19/$G$50</f>
        <v>#VALUE!</v>
      </c>
    </row>
    <row r="20" spans="1:10" s="90" customFormat="1" ht="16.149999999999999" customHeight="1">
      <c r="A20" s="172" t="s">
        <v>182</v>
      </c>
      <c r="B20" s="168" t="str">
        <f>Custos!B23</f>
        <v>Engenheiro de Projetos (Elétrico)</v>
      </c>
      <c r="C20" s="169" t="e">
        <f>Custos!G23</f>
        <v>#VALUE!</v>
      </c>
      <c r="D20" s="167" t="s">
        <v>181</v>
      </c>
      <c r="E20" s="268">
        <v>0</v>
      </c>
      <c r="F20" s="169" t="e">
        <f t="shared" si="0"/>
        <v>#VALUE!</v>
      </c>
      <c r="G20" s="169" t="e">
        <f>ROUND((F20*K!$G$23),2)</f>
        <v>#VALUE!</v>
      </c>
      <c r="H20" s="175" t="e">
        <f t="shared" si="1"/>
        <v>#VALUE!</v>
      </c>
    </row>
    <row r="21" spans="1:10" s="90" customFormat="1" ht="16.149999999999999" customHeight="1">
      <c r="A21" s="172" t="s">
        <v>184</v>
      </c>
      <c r="B21" s="168" t="str">
        <f>Custos!B24</f>
        <v>Engenheiro de Projeto (Calculista)</v>
      </c>
      <c r="C21" s="169" t="e">
        <f>Custos!G24</f>
        <v>#VALUE!</v>
      </c>
      <c r="D21" s="167" t="s">
        <v>181</v>
      </c>
      <c r="E21" s="268">
        <v>0</v>
      </c>
      <c r="F21" s="169" t="e">
        <f t="shared" si="0"/>
        <v>#VALUE!</v>
      </c>
      <c r="G21" s="169" t="e">
        <f>ROUND((F21*K!$G$23),2)</f>
        <v>#VALUE!</v>
      </c>
      <c r="H21" s="175" t="e">
        <f t="shared" si="1"/>
        <v>#VALUE!</v>
      </c>
    </row>
    <row r="22" spans="1:10" s="90" customFormat="1" ht="16.149999999999999" customHeight="1">
      <c r="A22" s="172" t="s">
        <v>186</v>
      </c>
      <c r="B22" s="168" t="str">
        <f>Custos!B25</f>
        <v>Engenheiro de Projetos (Mecânico)</v>
      </c>
      <c r="C22" s="169" t="e">
        <f>Custos!G25</f>
        <v>#VALUE!</v>
      </c>
      <c r="D22" s="167" t="s">
        <v>181</v>
      </c>
      <c r="E22" s="268">
        <v>0</v>
      </c>
      <c r="F22" s="169" t="e">
        <f t="shared" si="0"/>
        <v>#VALUE!</v>
      </c>
      <c r="G22" s="169" t="e">
        <f>ROUND((F22*K!$G$23),2)</f>
        <v>#VALUE!</v>
      </c>
      <c r="H22" s="175" t="e">
        <f t="shared" si="1"/>
        <v>#VALUE!</v>
      </c>
    </row>
    <row r="23" spans="1:10" s="90" customFormat="1" ht="16.149999999999999" customHeight="1">
      <c r="A23" s="172" t="s">
        <v>188</v>
      </c>
      <c r="B23" s="168" t="str">
        <f>Custos!B26</f>
        <v>Engenheiro ambiental</v>
      </c>
      <c r="C23" s="169" t="e">
        <f>Custos!G26</f>
        <v>#VALUE!</v>
      </c>
      <c r="D23" s="167" t="s">
        <v>181</v>
      </c>
      <c r="E23" s="268">
        <v>0</v>
      </c>
      <c r="F23" s="169" t="e">
        <f t="shared" si="0"/>
        <v>#VALUE!</v>
      </c>
      <c r="G23" s="169" t="e">
        <f>ROUND((F23*K!$G$23),2)</f>
        <v>#VALUE!</v>
      </c>
      <c r="H23" s="175" t="e">
        <f t="shared" si="1"/>
        <v>#VALUE!</v>
      </c>
    </row>
    <row r="24" spans="1:10" s="90" customFormat="1" ht="16.149999999999999" customHeight="1">
      <c r="A24" s="172" t="s">
        <v>197</v>
      </c>
      <c r="B24" s="168" t="str">
        <f>Custos!B27</f>
        <v>Técnico em geoprocessamento</v>
      </c>
      <c r="C24" s="169" t="e">
        <f>Custos!G27</f>
        <v>#VALUE!</v>
      </c>
      <c r="D24" s="167" t="s">
        <v>181</v>
      </c>
      <c r="E24" s="268">
        <v>0</v>
      </c>
      <c r="F24" s="169" t="e">
        <f t="shared" si="0"/>
        <v>#VALUE!</v>
      </c>
      <c r="G24" s="169" t="e">
        <f>ROUND((F24*K!$G$23),2)</f>
        <v>#VALUE!</v>
      </c>
      <c r="H24" s="175" t="e">
        <f t="shared" si="1"/>
        <v>#VALUE!</v>
      </c>
      <c r="J24" s="91"/>
    </row>
    <row r="25" spans="1:10" ht="6" customHeight="1">
      <c r="A25" s="123"/>
      <c r="B25" s="124"/>
      <c r="C25" s="125"/>
      <c r="D25" s="146"/>
      <c r="E25" s="289"/>
      <c r="F25" s="126"/>
      <c r="G25" s="126"/>
      <c r="H25" s="149"/>
    </row>
    <row r="26" spans="1:10" s="89" customFormat="1" ht="18" customHeight="1">
      <c r="A26" s="245">
        <v>3</v>
      </c>
      <c r="B26" s="143"/>
      <c r="C26" s="144"/>
      <c r="D26" s="142"/>
      <c r="E26" s="295"/>
      <c r="F26" s="143"/>
      <c r="G26" s="250" t="e">
        <f>G28+G33+G39</f>
        <v>#VALUE!</v>
      </c>
      <c r="H26" s="240" t="e">
        <f>G26/$G$50</f>
        <v>#VALUE!</v>
      </c>
    </row>
    <row r="27" spans="1:10" ht="5.0999999999999996" customHeight="1">
      <c r="A27" s="129"/>
      <c r="B27" s="131"/>
      <c r="C27" s="128"/>
      <c r="D27" s="122"/>
      <c r="E27" s="293"/>
      <c r="F27" s="122"/>
      <c r="G27" s="122"/>
      <c r="H27" s="148"/>
    </row>
    <row r="28" spans="1:10" s="89" customFormat="1" ht="18" customHeight="1">
      <c r="A28" s="139" t="s">
        <v>58</v>
      </c>
      <c r="B28" s="140"/>
      <c r="C28" s="141"/>
      <c r="D28" s="139"/>
      <c r="E28" s="292"/>
      <c r="F28" s="140"/>
      <c r="G28" s="251" t="e">
        <f>SUM(G29:G31)</f>
        <v>#VALUE!</v>
      </c>
      <c r="H28" s="255" t="e">
        <f>SUM(H29:H31)</f>
        <v>#VALUE!</v>
      </c>
    </row>
    <row r="29" spans="1:10" s="90" customFormat="1">
      <c r="A29" s="172" t="s">
        <v>179</v>
      </c>
      <c r="B29" s="264" t="str">
        <f>Custos!B38</f>
        <v>Mobilização e desmobilização de equipe de topografia</v>
      </c>
      <c r="C29" s="174" t="str">
        <f>Custos!G38</f>
        <v>preencher</v>
      </c>
      <c r="D29" s="212" t="str">
        <f>Custos!E38</f>
        <v>km</v>
      </c>
      <c r="E29" s="407">
        <v>0</v>
      </c>
      <c r="F29" s="169" t="e">
        <f>ROUND(C29*E29,2)</f>
        <v>#VALUE!</v>
      </c>
      <c r="G29" s="169" t="e">
        <f>ROUND((F29*K!$G$24),2)</f>
        <v>#VALUE!</v>
      </c>
      <c r="H29" s="176" t="e">
        <f>G29/$G$50</f>
        <v>#VALUE!</v>
      </c>
    </row>
    <row r="30" spans="1:10" s="90" customFormat="1">
      <c r="A30" s="172" t="s">
        <v>182</v>
      </c>
      <c r="B30" s="264" t="str">
        <f>Custos!B39</f>
        <v>Equipe de topografia de campo</v>
      </c>
      <c r="C30" s="174" t="str">
        <f>Custos!G39</f>
        <v>preencher</v>
      </c>
      <c r="D30" s="212" t="str">
        <f>Custos!E39</f>
        <v>mês</v>
      </c>
      <c r="E30" s="407">
        <v>0</v>
      </c>
      <c r="F30" s="169" t="e">
        <f>ROUND(C30*E30,2)</f>
        <v>#VALUE!</v>
      </c>
      <c r="G30" s="169" t="e">
        <f>ROUND((F30*K!$G$24),2)</f>
        <v>#VALUE!</v>
      </c>
      <c r="H30" s="176" t="e">
        <f>G30/$G$50</f>
        <v>#VALUE!</v>
      </c>
    </row>
    <row r="31" spans="1:10" s="90" customFormat="1">
      <c r="A31" s="172" t="s">
        <v>184</v>
      </c>
      <c r="B31" s="264" t="str">
        <f>Custos!B40</f>
        <v>Equipe de topografia de escritório</v>
      </c>
      <c r="C31" s="174" t="str">
        <f>Custos!G40</f>
        <v>preencher</v>
      </c>
      <c r="D31" s="212" t="str">
        <f>Custos!E40</f>
        <v>mês</v>
      </c>
      <c r="E31" s="407">
        <v>0</v>
      </c>
      <c r="F31" s="169" t="e">
        <f>ROUND(C31*E31,2)</f>
        <v>#VALUE!</v>
      </c>
      <c r="G31" s="169" t="e">
        <f>ROUND((F31*K!$G$24),2)</f>
        <v>#VALUE!</v>
      </c>
      <c r="H31" s="176" t="e">
        <f>G31/$G$50</f>
        <v>#VALUE!</v>
      </c>
    </row>
    <row r="32" spans="1:10" ht="10.5" customHeight="1">
      <c r="A32" s="129"/>
      <c r="B32" s="131"/>
      <c r="C32" s="128"/>
      <c r="D32" s="212"/>
      <c r="E32" s="293"/>
      <c r="F32" s="122"/>
      <c r="G32" s="122"/>
      <c r="H32" s="148"/>
    </row>
    <row r="33" spans="1:8" s="89" customFormat="1" ht="18" customHeight="1">
      <c r="A33" s="119" t="s">
        <v>59</v>
      </c>
      <c r="B33" s="132"/>
      <c r="C33" s="121"/>
      <c r="D33" s="119"/>
      <c r="E33" s="296"/>
      <c r="F33" s="120"/>
      <c r="G33" s="133" t="e">
        <f>SUM(G34:G37)</f>
        <v>#VALUE!</v>
      </c>
      <c r="H33" s="254" t="e">
        <f>SUM(H35:H36)</f>
        <v>#VALUE!</v>
      </c>
    </row>
    <row r="34" spans="1:8" s="90" customFormat="1">
      <c r="A34" s="172" t="s">
        <v>179</v>
      </c>
      <c r="B34" s="264" t="str">
        <f>Custos!B32</f>
        <v>Sondagem a percussao - mobilizacao e desmobilizacao</v>
      </c>
      <c r="C34" s="174" t="str">
        <f>Custos!G32</f>
        <v>preencher</v>
      </c>
      <c r="D34" s="212" t="str">
        <f>Custos!E32</f>
        <v>unidade</v>
      </c>
      <c r="E34" s="407">
        <v>1</v>
      </c>
      <c r="F34" s="169" t="e">
        <f>ROUND(C34*E34,2)</f>
        <v>#VALUE!</v>
      </c>
      <c r="G34" s="169" t="e">
        <f>ROUND((F34*K!$G$24),2)</f>
        <v>#VALUE!</v>
      </c>
      <c r="H34" s="176" t="e">
        <f>G34/$G$50</f>
        <v>#VALUE!</v>
      </c>
    </row>
    <row r="35" spans="1:8" s="90" customFormat="1" ht="26.45" customHeight="1">
      <c r="A35" s="172" t="s">
        <v>182</v>
      </c>
      <c r="B35" s="277" t="str">
        <f>Custos!B33</f>
        <v>Sondagem a percussao - adicional de mobilizacao e desmobilizacao</v>
      </c>
      <c r="C35" s="174" t="str">
        <f>Custos!G33</f>
        <v>preencher</v>
      </c>
      <c r="D35" s="265" t="str">
        <f>Custos!E33</f>
        <v>km</v>
      </c>
      <c r="E35" s="407">
        <v>0</v>
      </c>
      <c r="F35" s="169" t="e">
        <f>ROUND(C35*E35,2)</f>
        <v>#VALUE!</v>
      </c>
      <c r="G35" s="169" t="e">
        <f>ROUND((F35*K!$G$24),2)</f>
        <v>#VALUE!</v>
      </c>
      <c r="H35" s="175" t="e">
        <f>G35/$G$50</f>
        <v>#VALUE!</v>
      </c>
    </row>
    <row r="36" spans="1:8" s="90" customFormat="1">
      <c r="A36" s="172" t="s">
        <v>184</v>
      </c>
      <c r="B36" s="264" t="str">
        <f>Custos!B34</f>
        <v>Sondagem a percussao - instalacao por furo</v>
      </c>
      <c r="C36" s="174" t="str">
        <f>Custos!G34</f>
        <v>preencher</v>
      </c>
      <c r="D36" s="212" t="str">
        <f>Custos!E34</f>
        <v>unidade</v>
      </c>
      <c r="E36" s="407">
        <v>5</v>
      </c>
      <c r="F36" s="169" t="e">
        <f>ROUND(C36*E36,2)</f>
        <v>#VALUE!</v>
      </c>
      <c r="G36" s="169" t="e">
        <f>ROUND((F36*K!$G$24),2)</f>
        <v>#VALUE!</v>
      </c>
      <c r="H36" s="176" t="e">
        <f>G36/$G$50</f>
        <v>#VALUE!</v>
      </c>
    </row>
    <row r="37" spans="1:8" s="90" customFormat="1" ht="26.45" customHeight="1">
      <c r="A37" s="172" t="s">
        <v>186</v>
      </c>
      <c r="B37" s="277" t="str">
        <f>Custos!B35</f>
        <v>Sondagem a percussao ø2.1/2" - perfuracao e retirada de amostras</v>
      </c>
      <c r="C37" s="174" t="str">
        <f>Custos!G35</f>
        <v>preencher</v>
      </c>
      <c r="D37" s="265" t="str">
        <f>Custos!E35</f>
        <v>m</v>
      </c>
      <c r="E37" s="407">
        <v>109</v>
      </c>
      <c r="F37" s="169" t="e">
        <f>ROUND(C37*E37,2)</f>
        <v>#VALUE!</v>
      </c>
      <c r="G37" s="169" t="e">
        <f>ROUND((F37*K!$G$24),2)</f>
        <v>#VALUE!</v>
      </c>
      <c r="H37" s="176" t="e">
        <f>G37/$G$50</f>
        <v>#VALUE!</v>
      </c>
    </row>
    <row r="38" spans="1:8" ht="6" customHeight="1">
      <c r="A38" s="123"/>
      <c r="B38" s="124"/>
      <c r="C38" s="125"/>
      <c r="D38" s="146"/>
      <c r="E38" s="407"/>
      <c r="F38" s="126"/>
      <c r="G38" s="126"/>
      <c r="H38" s="149"/>
    </row>
    <row r="39" spans="1:8" s="89" customFormat="1" ht="18" customHeight="1">
      <c r="A39" s="119" t="s">
        <v>60</v>
      </c>
      <c r="B39" s="132"/>
      <c r="C39" s="121"/>
      <c r="D39" s="119"/>
      <c r="E39" s="296"/>
      <c r="F39" s="120"/>
      <c r="G39" s="133" t="e">
        <f>SUM(G40:G41)</f>
        <v>#VALUE!</v>
      </c>
      <c r="H39" s="254" t="e">
        <f>SUM(H40:H41)</f>
        <v>#VALUE!</v>
      </c>
    </row>
    <row r="40" spans="1:8" s="90" customFormat="1">
      <c r="A40" s="172" t="s">
        <v>179</v>
      </c>
      <c r="B40" s="264" t="str">
        <f>Custos!B43</f>
        <v>Equipe de topografia de campo</v>
      </c>
      <c r="C40" s="174" t="str">
        <f>Custos!G43</f>
        <v>preencher</v>
      </c>
      <c r="D40" s="212" t="str">
        <f>Custos!E43</f>
        <v>mês</v>
      </c>
      <c r="E40" s="407">
        <v>0</v>
      </c>
      <c r="F40" s="169" t="e">
        <f>ROUND(C40*E40,2)</f>
        <v>#VALUE!</v>
      </c>
      <c r="G40" s="169" t="e">
        <f>ROUND((F40*K!$G$24),2)</f>
        <v>#VALUE!</v>
      </c>
      <c r="H40" s="176" t="e">
        <f>G40/$G$50</f>
        <v>#VALUE!</v>
      </c>
    </row>
    <row r="41" spans="1:8" s="90" customFormat="1">
      <c r="A41" s="172" t="s">
        <v>182</v>
      </c>
      <c r="B41" s="264" t="str">
        <f>Custos!B44</f>
        <v>Equipe de topografia de escritório</v>
      </c>
      <c r="C41" s="174" t="str">
        <f>Custos!G44</f>
        <v>preencher</v>
      </c>
      <c r="D41" s="212" t="str">
        <f>Custos!E44</f>
        <v>mês</v>
      </c>
      <c r="E41" s="407">
        <v>0</v>
      </c>
      <c r="F41" s="169" t="e">
        <f>ROUND(C41*E41,2)</f>
        <v>#VALUE!</v>
      </c>
      <c r="G41" s="169" t="e">
        <f>ROUND((F41*K!$G$24),2)</f>
        <v>#VALUE!</v>
      </c>
      <c r="H41" s="176" t="e">
        <f>G41/$G$50</f>
        <v>#VALUE!</v>
      </c>
    </row>
    <row r="42" spans="1:8" ht="5.0999999999999996" customHeight="1">
      <c r="A42" s="172"/>
      <c r="B42" s="134"/>
      <c r="C42" s="128"/>
      <c r="D42" s="167"/>
      <c r="E42" s="293"/>
      <c r="F42" s="122"/>
      <c r="G42" s="122"/>
      <c r="H42" s="148"/>
    </row>
    <row r="43" spans="1:8" s="89" customFormat="1" ht="18" customHeight="1">
      <c r="A43" s="245" t="s">
        <v>255</v>
      </c>
      <c r="B43" s="143"/>
      <c r="C43" s="144"/>
      <c r="D43" s="142"/>
      <c r="E43" s="295"/>
      <c r="F43" s="143"/>
      <c r="G43" s="250" t="e">
        <f>G45</f>
        <v>#VALUE!</v>
      </c>
      <c r="H43" s="240" t="e">
        <f>G43/$G$50</f>
        <v>#VALUE!</v>
      </c>
    </row>
    <row r="44" spans="1:8" ht="5.0999999999999996" customHeight="1">
      <c r="A44" s="246"/>
      <c r="B44" s="134"/>
      <c r="C44" s="128"/>
      <c r="D44" s="122"/>
      <c r="E44" s="293"/>
      <c r="F44" s="122"/>
      <c r="G44" s="122"/>
      <c r="H44" s="148"/>
    </row>
    <row r="45" spans="1:8" s="89" customFormat="1" ht="18" customHeight="1">
      <c r="A45" s="119" t="s">
        <v>71</v>
      </c>
      <c r="B45" s="120"/>
      <c r="C45" s="121"/>
      <c r="D45" s="119"/>
      <c r="E45" s="296"/>
      <c r="F45" s="120"/>
      <c r="G45" s="138" t="e">
        <f>SUM(G46:G48)</f>
        <v>#VALUE!</v>
      </c>
      <c r="H45" s="253" t="e">
        <f>SUM(H46:H48)</f>
        <v>#VALUE!</v>
      </c>
    </row>
    <row r="46" spans="1:8" s="90" customFormat="1">
      <c r="A46" s="172" t="s">
        <v>179</v>
      </c>
      <c r="B46" s="173" t="str">
        <f>Custos!B49</f>
        <v>Veículo tipo pick-up 4X4</v>
      </c>
      <c r="C46" s="174" t="e">
        <f>'P1'!C46</f>
        <v>#VALUE!</v>
      </c>
      <c r="D46" s="212" t="str">
        <f>'P1'!D46</f>
        <v>R$/dia</v>
      </c>
      <c r="E46" s="407">
        <v>2</v>
      </c>
      <c r="F46" s="169" t="e">
        <f>ROUND(C46*E46,2)</f>
        <v>#VALUE!</v>
      </c>
      <c r="G46" s="169" t="e">
        <f>ROUND((F46*K!$G$25),2)</f>
        <v>#VALUE!</v>
      </c>
      <c r="H46" s="176" t="e">
        <f>G46/$G$50</f>
        <v>#VALUE!</v>
      </c>
    </row>
    <row r="47" spans="1:8" s="90" customFormat="1" ht="16.149999999999999" customHeight="1">
      <c r="A47" s="172" t="s">
        <v>182</v>
      </c>
      <c r="B47" s="173" t="str">
        <f>Custos!B50</f>
        <v>Refeições</v>
      </c>
      <c r="C47" s="174" t="str">
        <f>'P1'!C47</f>
        <v>preencher</v>
      </c>
      <c r="D47" s="212" t="str">
        <f>'P1'!D47</f>
        <v>unidade</v>
      </c>
      <c r="E47" s="407">
        <v>6</v>
      </c>
      <c r="F47" s="169" t="e">
        <f>ROUND(C47*E47,2)</f>
        <v>#VALUE!</v>
      </c>
      <c r="G47" s="169" t="e">
        <f>ROUND((F47*K!$G$25),2)</f>
        <v>#VALUE!</v>
      </c>
      <c r="H47" s="176" t="e">
        <f>G47/$G$50</f>
        <v>#VALUE!</v>
      </c>
    </row>
    <row r="48" spans="1:8" s="90" customFormat="1" ht="16.149999999999999" customHeight="1">
      <c r="A48" s="172" t="s">
        <v>184</v>
      </c>
      <c r="B48" s="173" t="str">
        <f>Custos!B51</f>
        <v>Diárias</v>
      </c>
      <c r="C48" s="174" t="str">
        <f>'P1'!C48</f>
        <v>preencher</v>
      </c>
      <c r="D48" s="212" t="str">
        <f>'P1'!D48</f>
        <v>unidade</v>
      </c>
      <c r="E48" s="407">
        <v>3</v>
      </c>
      <c r="F48" s="169" t="e">
        <f>ROUND(C48*E48,2)</f>
        <v>#VALUE!</v>
      </c>
      <c r="G48" s="169" t="e">
        <f>ROUND((F48*K!$G$25),2)</f>
        <v>#VALUE!</v>
      </c>
      <c r="H48" s="176" t="e">
        <f>G48/$G$50</f>
        <v>#VALUE!</v>
      </c>
    </row>
    <row r="49" spans="1:9" ht="6" customHeight="1">
      <c r="A49" s="117"/>
      <c r="B49" s="135"/>
      <c r="C49" s="136"/>
      <c r="D49" s="146"/>
      <c r="E49" s="126"/>
      <c r="F49" s="126"/>
      <c r="G49" s="137"/>
      <c r="H49" s="150"/>
    </row>
    <row r="50" spans="1:9" ht="18" customHeight="1">
      <c r="A50" s="464" t="s">
        <v>256</v>
      </c>
      <c r="B50" s="464"/>
      <c r="C50" s="247"/>
      <c r="D50" s="248"/>
      <c r="E50" s="249"/>
      <c r="F50" s="247" t="s">
        <v>237</v>
      </c>
      <c r="G50" s="247" t="e">
        <f>ROUND((G7+G16+G26+G43),2)</f>
        <v>#VALUE!</v>
      </c>
      <c r="H50" s="252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0"/>
    </row>
    <row r="52" spans="1:9" ht="20.100000000000001" customHeight="1">
      <c r="A52" s="465" t="s">
        <v>286</v>
      </c>
      <c r="B52" s="465"/>
      <c r="C52" s="465"/>
      <c r="D52" s="465"/>
      <c r="E52" s="465"/>
      <c r="F52" s="465"/>
      <c r="G52" s="465"/>
      <c r="H52" s="465"/>
    </row>
    <row r="53" spans="1:9" ht="24" customHeight="1">
      <c r="A53" s="465" t="s">
        <v>287</v>
      </c>
      <c r="B53" s="465"/>
      <c r="C53" s="465"/>
      <c r="D53" s="465"/>
      <c r="E53" s="465"/>
      <c r="F53" s="465"/>
      <c r="G53" s="465"/>
      <c r="H53" s="465"/>
    </row>
    <row r="54" spans="1:9" ht="13.15" customHeight="1">
      <c r="A54" s="465" t="s">
        <v>288</v>
      </c>
      <c r="B54" s="465"/>
      <c r="C54" s="465"/>
      <c r="D54" s="465"/>
      <c r="E54" s="465"/>
      <c r="F54" s="465"/>
      <c r="G54" s="465"/>
      <c r="H54" s="465"/>
    </row>
    <row r="55" spans="1:9" ht="13.15" customHeight="1">
      <c r="A55" s="118"/>
      <c r="B55" s="461"/>
      <c r="C55" s="461"/>
      <c r="D55" s="461"/>
      <c r="E55" s="461"/>
      <c r="F55" s="461"/>
      <c r="G55" s="461"/>
      <c r="H55" s="461"/>
    </row>
    <row r="56" spans="1:9" ht="13.15" customHeight="1">
      <c r="A56" s="118"/>
      <c r="B56" s="225"/>
      <c r="C56" s="225"/>
      <c r="D56" s="225"/>
      <c r="E56" s="225"/>
      <c r="F56" s="225"/>
      <c r="G56" s="225"/>
      <c r="H56" s="225"/>
    </row>
    <row r="57" spans="1:9" ht="13.15" customHeight="1">
      <c r="A57" s="459"/>
      <c r="B57" s="459"/>
      <c r="C57" s="459"/>
      <c r="D57" s="459"/>
      <c r="E57" s="459"/>
      <c r="F57" s="459"/>
      <c r="G57" s="225"/>
      <c r="H57" s="225"/>
    </row>
    <row r="58" spans="1:9" ht="13.15" customHeight="1">
      <c r="A58" s="460"/>
      <c r="B58" s="460"/>
      <c r="C58" s="460"/>
      <c r="D58" s="460"/>
      <c r="E58" s="460"/>
      <c r="F58" s="460"/>
      <c r="G58" s="225"/>
      <c r="H58" s="225"/>
    </row>
    <row r="59" spans="1:9" ht="13.15" customHeight="1">
      <c r="A59" s="460"/>
      <c r="B59" s="460"/>
      <c r="C59" s="460"/>
      <c r="D59" s="460"/>
      <c r="E59" s="460"/>
      <c r="F59" s="460"/>
      <c r="G59" s="225"/>
      <c r="H59" s="225"/>
    </row>
    <row r="60" spans="1:9">
      <c r="A60" s="331"/>
      <c r="B60" s="97"/>
      <c r="D60" s="97"/>
      <c r="E60" s="97"/>
      <c r="I60"/>
    </row>
    <row r="61" spans="1:9" ht="15" customHeight="1">
      <c r="A61" s="459"/>
      <c r="B61" s="459"/>
      <c r="C61" s="459"/>
      <c r="D61" s="459"/>
      <c r="E61" s="459"/>
      <c r="F61" s="459"/>
      <c r="G61" s="271"/>
      <c r="H61" s="258"/>
      <c r="I61"/>
    </row>
    <row r="62" spans="1:9" ht="15" customHeight="1">
      <c r="A62" s="460"/>
      <c r="B62" s="460"/>
      <c r="C62" s="460"/>
      <c r="D62" s="460"/>
      <c r="E62" s="460"/>
      <c r="F62" s="460"/>
      <c r="G62" s="257"/>
      <c r="H62" s="258"/>
    </row>
    <row r="63" spans="1:9" ht="15" customHeight="1">
      <c r="A63" s="460"/>
      <c r="B63" s="460"/>
      <c r="C63" s="460"/>
      <c r="D63" s="460"/>
      <c r="E63" s="460"/>
      <c r="F63" s="460"/>
      <c r="G63" s="126"/>
      <c r="H63" s="259"/>
      <c r="I63" s="89"/>
    </row>
  </sheetData>
  <sheetProtection algorithmName="SHA-512" hashValue="eZePY/wb1fzNnD7ARXA1Yiav8RYQMotpyD4BelDAjcwujYrwBixZymfTILzgWt1r3K0w/Iado7QoKqyspYfyhw==" saltValue="pFgZHBttXZRTx9Q31YX7MA==" spinCount="100000" sheet="1" objects="1" scenarios="1"/>
  <mergeCells count="19">
    <mergeCell ref="A54:H54"/>
    <mergeCell ref="B55:H55"/>
    <mergeCell ref="C57:F57"/>
    <mergeCell ref="C58:F58"/>
    <mergeCell ref="C61:F61"/>
    <mergeCell ref="A61:B61"/>
    <mergeCell ref="B1:H1"/>
    <mergeCell ref="C6:D6"/>
    <mergeCell ref="A50:B50"/>
    <mergeCell ref="A52:H52"/>
    <mergeCell ref="A53:H53"/>
    <mergeCell ref="A63:B63"/>
    <mergeCell ref="C59:F59"/>
    <mergeCell ref="A57:B57"/>
    <mergeCell ref="A58:B58"/>
    <mergeCell ref="A59:B59"/>
    <mergeCell ref="C63:F63"/>
    <mergeCell ref="C62:F62"/>
    <mergeCell ref="A62:B62"/>
  </mergeCells>
  <conditionalFormatting sqref="A52:H54">
    <cfRule type="containsText" dxfId="5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3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Planilha14">
    <tabColor theme="8" tint="-0.249977111117893"/>
    <pageSetUpPr fitToPage="1"/>
  </sheetPr>
  <dimension ref="A1:J63"/>
  <sheetViews>
    <sheetView showGridLines="0" view="pageBreakPreview" zoomScale="60" zoomScaleNormal="100" workbookViewId="0">
      <selection activeCell="E10" sqref="E10:E48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2" t="s">
        <v>169</v>
      </c>
      <c r="C1" s="462"/>
      <c r="D1" s="462"/>
      <c r="E1" s="462"/>
      <c r="F1" s="462"/>
      <c r="G1" s="462"/>
      <c r="H1" s="462"/>
    </row>
    <row r="2" spans="1:10" s="89" customFormat="1" ht="15" customHeight="1">
      <c r="A2" s="77" t="s">
        <v>278</v>
      </c>
      <c r="C2" s="394" t="s">
        <v>281</v>
      </c>
      <c r="D2" s="145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5"/>
      <c r="H3" s="98"/>
    </row>
    <row r="4" spans="1:10" s="89" customFormat="1" ht="15" customHeight="1">
      <c r="A4" s="77" t="s">
        <v>135</v>
      </c>
      <c r="C4" s="80" t="str">
        <f>Capa!B30</f>
        <v>Resplendor/MG</v>
      </c>
      <c r="D4" s="145"/>
      <c r="G4" s="87"/>
      <c r="H4" s="86"/>
    </row>
    <row r="5" spans="1:10" ht="6" customHeight="1">
      <c r="A5" s="123"/>
      <c r="B5" s="124"/>
      <c r="C5" s="125"/>
      <c r="D5" s="146"/>
      <c r="E5" s="127"/>
      <c r="F5" s="126"/>
      <c r="G5" s="126"/>
      <c r="H5" s="149"/>
    </row>
    <row r="6" spans="1:10" s="100" customFormat="1" ht="47.45" customHeight="1">
      <c r="A6" s="232" t="s">
        <v>248</v>
      </c>
      <c r="B6" s="233" t="s">
        <v>249</v>
      </c>
      <c r="C6" s="463" t="s">
        <v>250</v>
      </c>
      <c r="D6" s="463"/>
      <c r="E6" s="234" t="s">
        <v>251</v>
      </c>
      <c r="F6" s="235" t="s">
        <v>252</v>
      </c>
      <c r="G6" s="235" t="s">
        <v>253</v>
      </c>
      <c r="H6" s="235" t="s">
        <v>254</v>
      </c>
    </row>
    <row r="7" spans="1:10" s="89" customFormat="1" ht="18" customHeight="1">
      <c r="A7" s="236">
        <v>1</v>
      </c>
      <c r="B7" s="237"/>
      <c r="C7" s="238"/>
      <c r="D7" s="236"/>
      <c r="E7" s="237"/>
      <c r="F7" s="237"/>
      <c r="G7" s="239" t="e">
        <f>G9</f>
        <v>#VALUE!</v>
      </c>
      <c r="H7" s="240" t="e">
        <f>G7/$G$50</f>
        <v>#VALUE!</v>
      </c>
    </row>
    <row r="8" spans="1:10" ht="6" customHeight="1">
      <c r="A8" s="123"/>
      <c r="B8" s="124"/>
      <c r="C8" s="125"/>
      <c r="D8" s="146"/>
      <c r="E8" s="127"/>
      <c r="F8" s="126"/>
      <c r="G8" s="126"/>
      <c r="H8" s="149"/>
    </row>
    <row r="9" spans="1:10" s="89" customFormat="1" ht="18" customHeight="1">
      <c r="A9" s="139" t="s">
        <v>28</v>
      </c>
      <c r="B9" s="140"/>
      <c r="C9" s="141"/>
      <c r="D9" s="139"/>
      <c r="E9" s="140"/>
      <c r="F9" s="140"/>
      <c r="G9" s="251" t="e">
        <f>SUM(G10:G14)</f>
        <v>#VALUE!</v>
      </c>
      <c r="H9" s="255" t="e">
        <f>SUM(H10:H14)</f>
        <v>#VALUE!</v>
      </c>
    </row>
    <row r="10" spans="1:10" s="90" customFormat="1" ht="16.149999999999999" customHeight="1">
      <c r="A10" s="172" t="s">
        <v>179</v>
      </c>
      <c r="B10" s="168" t="str">
        <f>Custos!B13</f>
        <v>Engenheiro Coordenador</v>
      </c>
      <c r="C10" s="169" t="e">
        <f>Custos!G13</f>
        <v>#VALUE!</v>
      </c>
      <c r="D10" s="167" t="s">
        <v>181</v>
      </c>
      <c r="E10" s="268">
        <v>1.5</v>
      </c>
      <c r="F10" s="169" t="e">
        <f>ROUND(C10*E10,2)</f>
        <v>#VALUE!</v>
      </c>
      <c r="G10" s="169" t="e">
        <f>ROUND((F10*K!$G$22),2)</f>
        <v>#VALUE!</v>
      </c>
      <c r="H10" s="176" t="e">
        <f>G10/$G$50</f>
        <v>#VALUE!</v>
      </c>
      <c r="J10" s="91"/>
    </row>
    <row r="11" spans="1:10" s="90" customFormat="1" ht="16.149999999999999" customHeight="1">
      <c r="A11" s="172" t="s">
        <v>182</v>
      </c>
      <c r="B11" s="168" t="str">
        <f>Custos!B14</f>
        <v>Engenheiro de Projetos Pleno</v>
      </c>
      <c r="C11" s="171" t="e">
        <f>Custos!G14</f>
        <v>#VALUE!</v>
      </c>
      <c r="D11" s="170" t="s">
        <v>181</v>
      </c>
      <c r="E11" s="268">
        <v>3</v>
      </c>
      <c r="F11" s="169" t="e">
        <f>ROUND(C11*E11,2)</f>
        <v>#VALUE!</v>
      </c>
      <c r="G11" s="169" t="e">
        <f>ROUND((F11*K!$G$22),2)</f>
        <v>#VALUE!</v>
      </c>
      <c r="H11" s="176" t="e">
        <f>G11/$G$50</f>
        <v>#VALUE!</v>
      </c>
      <c r="J11" s="91"/>
    </row>
    <row r="12" spans="1:10" s="90" customFormat="1" ht="16.149999999999999" customHeight="1">
      <c r="A12" s="172" t="s">
        <v>184</v>
      </c>
      <c r="B12" s="168" t="str">
        <f>Custos!B15</f>
        <v>Engenheiro de Projetos Júnior</v>
      </c>
      <c r="C12" s="171" t="e">
        <f>Custos!G15</f>
        <v>#VALUE!</v>
      </c>
      <c r="D12" s="170" t="s">
        <v>181</v>
      </c>
      <c r="E12" s="268">
        <v>3</v>
      </c>
      <c r="F12" s="169" t="e">
        <f>ROUND(C12*E12,2)</f>
        <v>#VALUE!</v>
      </c>
      <c r="G12" s="169" t="e">
        <f>ROUND((F12*K!$G$22),2)</f>
        <v>#VALUE!</v>
      </c>
      <c r="H12" s="176" t="e">
        <f>G12/$G$50</f>
        <v>#VALUE!</v>
      </c>
      <c r="J12" s="91"/>
    </row>
    <row r="13" spans="1:10" s="90" customFormat="1" ht="16.149999999999999" customHeight="1">
      <c r="A13" s="172" t="s">
        <v>186</v>
      </c>
      <c r="B13" s="168" t="str">
        <f>Custos!B16</f>
        <v>Técnico cadista</v>
      </c>
      <c r="C13" s="171" t="e">
        <f>Custos!G16</f>
        <v>#VALUE!</v>
      </c>
      <c r="D13" s="170" t="s">
        <v>181</v>
      </c>
      <c r="E13" s="268">
        <v>0</v>
      </c>
      <c r="F13" s="169" t="e">
        <f>ROUND(C13*E13,2)</f>
        <v>#VALUE!</v>
      </c>
      <c r="G13" s="169" t="e">
        <f>ROUND((F13*K!$G$22),2)</f>
        <v>#VALUE!</v>
      </c>
      <c r="H13" s="176" t="e">
        <f>G13/$G$50</f>
        <v>#VALUE!</v>
      </c>
      <c r="J13" s="91"/>
    </row>
    <row r="14" spans="1:10" s="90" customFormat="1" ht="16.149999999999999" customHeight="1">
      <c r="A14" s="172" t="s">
        <v>188</v>
      </c>
      <c r="B14" s="168" t="str">
        <f>Custos!B17</f>
        <v>Auxiliar Administrativo</v>
      </c>
      <c r="C14" s="171" t="e">
        <f>Custos!G17</f>
        <v>#VALUE!</v>
      </c>
      <c r="D14" s="170" t="s">
        <v>181</v>
      </c>
      <c r="E14" s="268">
        <v>12</v>
      </c>
      <c r="F14" s="169" t="e">
        <f>ROUND(C14*E14,2)</f>
        <v>#VALUE!</v>
      </c>
      <c r="G14" s="169" t="e">
        <f>ROUND((F14*K!$G$22),2)</f>
        <v>#VALUE!</v>
      </c>
      <c r="H14" s="176" t="e">
        <f>G14/$G$50</f>
        <v>#VALUE!</v>
      </c>
      <c r="J14" s="91"/>
    </row>
    <row r="15" spans="1:10" ht="6" customHeight="1">
      <c r="A15" s="123"/>
      <c r="B15" s="124"/>
      <c r="C15" s="125"/>
      <c r="D15" s="146"/>
      <c r="E15" s="289"/>
      <c r="F15" s="126"/>
      <c r="G15" s="126"/>
      <c r="H15" s="149"/>
    </row>
    <row r="16" spans="1:10" s="89" customFormat="1" ht="18" customHeight="1">
      <c r="A16" s="236">
        <v>2</v>
      </c>
      <c r="B16" s="237"/>
      <c r="C16" s="238"/>
      <c r="D16" s="236"/>
      <c r="E16" s="291"/>
      <c r="F16" s="237"/>
      <c r="G16" s="239" t="e">
        <f>G18</f>
        <v>#VALUE!</v>
      </c>
      <c r="H16" s="240" t="e">
        <f>G16/$G$50</f>
        <v>#VALUE!</v>
      </c>
    </row>
    <row r="17" spans="1:10" ht="5.0999999999999996" customHeight="1">
      <c r="A17" s="129"/>
      <c r="B17" s="131"/>
      <c r="C17" s="128"/>
      <c r="D17" s="122"/>
      <c r="E17" s="293"/>
      <c r="F17" s="122"/>
      <c r="G17" s="122"/>
      <c r="H17" s="148"/>
    </row>
    <row r="18" spans="1:10" s="89" customFormat="1" ht="18" customHeight="1">
      <c r="A18" s="241" t="s">
        <v>46</v>
      </c>
      <c r="B18" s="242"/>
      <c r="C18" s="243"/>
      <c r="D18" s="241"/>
      <c r="E18" s="294"/>
      <c r="F18" s="243"/>
      <c r="G18" s="244" t="e">
        <f>SUM(G19:G24)</f>
        <v>#VALUE!</v>
      </c>
      <c r="H18" s="256" t="e">
        <f>SUM(H19:H24)</f>
        <v>#VALUE!</v>
      </c>
    </row>
    <row r="19" spans="1:10" s="90" customFormat="1" ht="16.149999999999999" customHeight="1">
      <c r="A19" s="172" t="s">
        <v>179</v>
      </c>
      <c r="B19" s="168" t="str">
        <f>Custos!B22</f>
        <v>Advogado sênior</v>
      </c>
      <c r="C19" s="169" t="e">
        <f>Custos!G22</f>
        <v>#VALUE!</v>
      </c>
      <c r="D19" s="167" t="s">
        <v>181</v>
      </c>
      <c r="E19" s="268">
        <v>3</v>
      </c>
      <c r="F19" s="169" t="e">
        <f t="shared" ref="F19:F24" si="0">ROUND(C19*E19,2)</f>
        <v>#VALUE!</v>
      </c>
      <c r="G19" s="169" t="e">
        <f>ROUND((F19*K!$G$23),2)</f>
        <v>#VALUE!</v>
      </c>
      <c r="H19" s="175" t="e">
        <f t="shared" ref="H19:H24" si="1">G19/$G$50</f>
        <v>#VALUE!</v>
      </c>
    </row>
    <row r="20" spans="1:10" s="90" customFormat="1" ht="16.149999999999999" customHeight="1">
      <c r="A20" s="172" t="s">
        <v>182</v>
      </c>
      <c r="B20" s="168" t="str">
        <f>Custos!B23</f>
        <v>Engenheiro de Projetos (Elétrico)</v>
      </c>
      <c r="C20" s="169" t="e">
        <f>Custos!G23</f>
        <v>#VALUE!</v>
      </c>
      <c r="D20" s="167" t="s">
        <v>181</v>
      </c>
      <c r="E20" s="268">
        <v>0</v>
      </c>
      <c r="F20" s="169" t="e">
        <f t="shared" si="0"/>
        <v>#VALUE!</v>
      </c>
      <c r="G20" s="169" t="e">
        <f>ROUND((F20*K!$G$23),2)</f>
        <v>#VALUE!</v>
      </c>
      <c r="H20" s="175" t="e">
        <f t="shared" si="1"/>
        <v>#VALUE!</v>
      </c>
    </row>
    <row r="21" spans="1:10" s="90" customFormat="1" ht="16.149999999999999" customHeight="1">
      <c r="A21" s="172" t="s">
        <v>184</v>
      </c>
      <c r="B21" s="168" t="str">
        <f>Custos!B24</f>
        <v>Engenheiro de Projeto (Calculista)</v>
      </c>
      <c r="C21" s="169" t="e">
        <f>Custos!G24</f>
        <v>#VALUE!</v>
      </c>
      <c r="D21" s="167" t="s">
        <v>181</v>
      </c>
      <c r="E21" s="268">
        <v>0</v>
      </c>
      <c r="F21" s="169" t="e">
        <f t="shared" si="0"/>
        <v>#VALUE!</v>
      </c>
      <c r="G21" s="169" t="e">
        <f>ROUND((F21*K!$G$23),2)</f>
        <v>#VALUE!</v>
      </c>
      <c r="H21" s="175" t="e">
        <f t="shared" si="1"/>
        <v>#VALUE!</v>
      </c>
    </row>
    <row r="22" spans="1:10" s="90" customFormat="1" ht="16.149999999999999" customHeight="1">
      <c r="A22" s="172" t="s">
        <v>186</v>
      </c>
      <c r="B22" s="168" t="str">
        <f>Custos!B25</f>
        <v>Engenheiro de Projetos (Mecânico)</v>
      </c>
      <c r="C22" s="169" t="e">
        <f>Custos!G25</f>
        <v>#VALUE!</v>
      </c>
      <c r="D22" s="167" t="s">
        <v>181</v>
      </c>
      <c r="E22" s="268">
        <v>0</v>
      </c>
      <c r="F22" s="169" t="e">
        <f t="shared" si="0"/>
        <v>#VALUE!</v>
      </c>
      <c r="G22" s="169" t="e">
        <f>ROUND((F22*K!$G$23),2)</f>
        <v>#VALUE!</v>
      </c>
      <c r="H22" s="175" t="e">
        <f t="shared" si="1"/>
        <v>#VALUE!</v>
      </c>
    </row>
    <row r="23" spans="1:10" s="90" customFormat="1" ht="16.149999999999999" customHeight="1">
      <c r="A23" s="172" t="s">
        <v>188</v>
      </c>
      <c r="B23" s="168" t="str">
        <f>Custos!B26</f>
        <v>Engenheiro ambiental</v>
      </c>
      <c r="C23" s="169" t="e">
        <f>Custos!G26</f>
        <v>#VALUE!</v>
      </c>
      <c r="D23" s="167" t="s">
        <v>181</v>
      </c>
      <c r="E23" s="268">
        <v>24</v>
      </c>
      <c r="F23" s="169" t="e">
        <f t="shared" si="0"/>
        <v>#VALUE!</v>
      </c>
      <c r="G23" s="169" t="e">
        <f>ROUND((F23*K!$G$23),2)</f>
        <v>#VALUE!</v>
      </c>
      <c r="H23" s="175" t="e">
        <f t="shared" si="1"/>
        <v>#VALUE!</v>
      </c>
    </row>
    <row r="24" spans="1:10" s="90" customFormat="1" ht="16.149999999999999" customHeight="1">
      <c r="A24" s="172" t="s">
        <v>197</v>
      </c>
      <c r="B24" s="168" t="str">
        <f>Custos!B27</f>
        <v>Técnico em geoprocessamento</v>
      </c>
      <c r="C24" s="169" t="e">
        <f>Custos!G27</f>
        <v>#VALUE!</v>
      </c>
      <c r="D24" s="167" t="s">
        <v>181</v>
      </c>
      <c r="E24" s="268">
        <v>0</v>
      </c>
      <c r="F24" s="169" t="e">
        <f t="shared" si="0"/>
        <v>#VALUE!</v>
      </c>
      <c r="G24" s="169" t="e">
        <f>ROUND((F24*K!$G$23),2)</f>
        <v>#VALUE!</v>
      </c>
      <c r="H24" s="175" t="e">
        <f t="shared" si="1"/>
        <v>#VALUE!</v>
      </c>
      <c r="J24" s="91"/>
    </row>
    <row r="25" spans="1:10" ht="6" customHeight="1">
      <c r="A25" s="123"/>
      <c r="B25" s="124"/>
      <c r="C25" s="125"/>
      <c r="D25" s="146"/>
      <c r="E25" s="289"/>
      <c r="F25" s="126"/>
      <c r="G25" s="126"/>
      <c r="H25" s="149"/>
    </row>
    <row r="26" spans="1:10" s="89" customFormat="1" ht="18" customHeight="1">
      <c r="A26" s="245">
        <v>3</v>
      </c>
      <c r="B26" s="143"/>
      <c r="C26" s="144"/>
      <c r="D26" s="142"/>
      <c r="E26" s="295"/>
      <c r="F26" s="143"/>
      <c r="G26" s="250" t="e">
        <f>G28+G33+G39</f>
        <v>#VALUE!</v>
      </c>
      <c r="H26" s="240" t="e">
        <f>G26/$G$50</f>
        <v>#VALUE!</v>
      </c>
    </row>
    <row r="27" spans="1:10" ht="5.0999999999999996" customHeight="1">
      <c r="A27" s="129"/>
      <c r="B27" s="131"/>
      <c r="C27" s="128"/>
      <c r="D27" s="122"/>
      <c r="E27" s="293"/>
      <c r="F27" s="122"/>
      <c r="G27" s="122"/>
      <c r="H27" s="148"/>
    </row>
    <row r="28" spans="1:10" s="89" customFormat="1" ht="18" customHeight="1">
      <c r="A28" s="139" t="s">
        <v>58</v>
      </c>
      <c r="B28" s="140"/>
      <c r="C28" s="141"/>
      <c r="D28" s="139"/>
      <c r="E28" s="292"/>
      <c r="F28" s="140"/>
      <c r="G28" s="251" t="e">
        <f>SUM(G29:G31)</f>
        <v>#VALUE!</v>
      </c>
      <c r="H28" s="255" t="e">
        <f>SUM(H29:H31)</f>
        <v>#VALUE!</v>
      </c>
    </row>
    <row r="29" spans="1:10" s="90" customFormat="1">
      <c r="A29" s="172" t="s">
        <v>179</v>
      </c>
      <c r="B29" s="264" t="str">
        <f>Custos!B38</f>
        <v>Mobilização e desmobilização de equipe de topografia</v>
      </c>
      <c r="C29" s="174" t="str">
        <f>Custos!G38</f>
        <v>preencher</v>
      </c>
      <c r="D29" s="212" t="str">
        <f>Custos!E38</f>
        <v>km</v>
      </c>
      <c r="E29" s="407">
        <v>0</v>
      </c>
      <c r="F29" s="169" t="e">
        <f>ROUND(C29*E29,2)</f>
        <v>#VALUE!</v>
      </c>
      <c r="G29" s="169" t="e">
        <f>ROUND((F29*K!$G$24),2)</f>
        <v>#VALUE!</v>
      </c>
      <c r="H29" s="176" t="e">
        <f>G29/$G$50</f>
        <v>#VALUE!</v>
      </c>
    </row>
    <row r="30" spans="1:10" s="90" customFormat="1">
      <c r="A30" s="172" t="s">
        <v>182</v>
      </c>
      <c r="B30" s="264" t="str">
        <f>Custos!B39</f>
        <v>Equipe de topografia de campo</v>
      </c>
      <c r="C30" s="174" t="str">
        <f>Custos!G39</f>
        <v>preencher</v>
      </c>
      <c r="D30" s="212" t="str">
        <f>Custos!E39</f>
        <v>mês</v>
      </c>
      <c r="E30" s="407">
        <v>0</v>
      </c>
      <c r="F30" s="169" t="e">
        <f>ROUND(C30*E30,2)</f>
        <v>#VALUE!</v>
      </c>
      <c r="G30" s="169" t="e">
        <f>ROUND((F30*K!$G$24),2)</f>
        <v>#VALUE!</v>
      </c>
      <c r="H30" s="176" t="e">
        <f>G30/$G$50</f>
        <v>#VALUE!</v>
      </c>
    </row>
    <row r="31" spans="1:10" s="90" customFormat="1">
      <c r="A31" s="172" t="s">
        <v>184</v>
      </c>
      <c r="B31" s="264" t="str">
        <f>Custos!B40</f>
        <v>Equipe de topografia de escritório</v>
      </c>
      <c r="C31" s="174" t="str">
        <f>Custos!G40</f>
        <v>preencher</v>
      </c>
      <c r="D31" s="212" t="str">
        <f>Custos!E40</f>
        <v>mês</v>
      </c>
      <c r="E31" s="407">
        <v>0</v>
      </c>
      <c r="F31" s="169" t="e">
        <f>ROUND(C31*E31,2)</f>
        <v>#VALUE!</v>
      </c>
      <c r="G31" s="169" t="e">
        <f>ROUND((F31*K!$G$24),2)</f>
        <v>#VALUE!</v>
      </c>
      <c r="H31" s="176" t="e">
        <f>G31/$G$50</f>
        <v>#VALUE!</v>
      </c>
    </row>
    <row r="32" spans="1:10" ht="10.5" customHeight="1">
      <c r="A32" s="129"/>
      <c r="B32" s="131"/>
      <c r="C32" s="128"/>
      <c r="D32" s="212"/>
      <c r="E32" s="293"/>
      <c r="F32" s="122"/>
      <c r="G32" s="122"/>
      <c r="H32" s="148"/>
    </row>
    <row r="33" spans="1:8" s="89" customFormat="1" ht="18" customHeight="1">
      <c r="A33" s="119" t="s">
        <v>59</v>
      </c>
      <c r="B33" s="132"/>
      <c r="C33" s="121"/>
      <c r="D33" s="119"/>
      <c r="E33" s="296"/>
      <c r="F33" s="120"/>
      <c r="G33" s="133" t="e">
        <f>SUM(G35:G36)</f>
        <v>#VALUE!</v>
      </c>
      <c r="H33" s="254" t="e">
        <f>SUM(H35:H36)</f>
        <v>#VALUE!</v>
      </c>
    </row>
    <row r="34" spans="1:8" s="90" customFormat="1">
      <c r="A34" s="172" t="s">
        <v>179</v>
      </c>
      <c r="B34" s="264" t="str">
        <f>Custos!B32</f>
        <v>Sondagem a percussao - mobilizacao e desmobilizacao</v>
      </c>
      <c r="C34" s="174" t="str">
        <f>Custos!G32</f>
        <v>preencher</v>
      </c>
      <c r="D34" s="212" t="str">
        <f>Custos!E32</f>
        <v>unidade</v>
      </c>
      <c r="E34" s="407">
        <v>0</v>
      </c>
      <c r="F34" s="169" t="e">
        <f>ROUND(C34*E34,2)</f>
        <v>#VALUE!</v>
      </c>
      <c r="G34" s="169" t="e">
        <f>ROUND((F34*K!$G$24),2)</f>
        <v>#VALUE!</v>
      </c>
      <c r="H34" s="176" t="e">
        <f>G34/$G$50</f>
        <v>#VALUE!</v>
      </c>
    </row>
    <row r="35" spans="1:8" s="90" customFormat="1" ht="26.45" customHeight="1">
      <c r="A35" s="172" t="s">
        <v>182</v>
      </c>
      <c r="B35" s="277" t="str">
        <f>Custos!B33</f>
        <v>Sondagem a percussao - adicional de mobilizacao e desmobilizacao</v>
      </c>
      <c r="C35" s="174" t="str">
        <f>Custos!G33</f>
        <v>preencher</v>
      </c>
      <c r="D35" s="265" t="str">
        <f>Custos!E33</f>
        <v>km</v>
      </c>
      <c r="E35" s="407">
        <v>0</v>
      </c>
      <c r="F35" s="169" t="e">
        <f>ROUND(C35*E35,2)</f>
        <v>#VALUE!</v>
      </c>
      <c r="G35" s="169" t="e">
        <f>ROUND((F35*K!$G$24),2)</f>
        <v>#VALUE!</v>
      </c>
      <c r="H35" s="175" t="e">
        <f>G35/$G$50</f>
        <v>#VALUE!</v>
      </c>
    </row>
    <row r="36" spans="1:8" s="90" customFormat="1">
      <c r="A36" s="172" t="s">
        <v>184</v>
      </c>
      <c r="B36" s="264" t="str">
        <f>Custos!B34</f>
        <v>Sondagem a percussao - instalacao por furo</v>
      </c>
      <c r="C36" s="174" t="str">
        <f>Custos!G34</f>
        <v>preencher</v>
      </c>
      <c r="D36" s="212" t="str">
        <f>Custos!E34</f>
        <v>unidade</v>
      </c>
      <c r="E36" s="407">
        <v>0</v>
      </c>
      <c r="F36" s="169" t="e">
        <f>ROUND(C36*E36,2)</f>
        <v>#VALUE!</v>
      </c>
      <c r="G36" s="169" t="e">
        <f>ROUND((F36*K!$G$24),2)</f>
        <v>#VALUE!</v>
      </c>
      <c r="H36" s="176" t="e">
        <f>G36/$G$50</f>
        <v>#VALUE!</v>
      </c>
    </row>
    <row r="37" spans="1:8" s="90" customFormat="1" ht="26.45" customHeight="1">
      <c r="A37" s="172" t="s">
        <v>186</v>
      </c>
      <c r="B37" s="277" t="str">
        <f>Custos!B35</f>
        <v>Sondagem a percussao ø2.1/2" - perfuracao e retirada de amostras</v>
      </c>
      <c r="C37" s="174" t="str">
        <f>Custos!G35</f>
        <v>preencher</v>
      </c>
      <c r="D37" s="265" t="str">
        <f>Custos!E35</f>
        <v>m</v>
      </c>
      <c r="E37" s="407">
        <v>0</v>
      </c>
      <c r="F37" s="169" t="e">
        <f>ROUND(C37*E37,2)</f>
        <v>#VALUE!</v>
      </c>
      <c r="G37" s="169" t="e">
        <f>ROUND((F37*K!$G$24),2)</f>
        <v>#VALUE!</v>
      </c>
      <c r="H37" s="176" t="e">
        <f>G37/$G$50</f>
        <v>#VALUE!</v>
      </c>
    </row>
    <row r="38" spans="1:8" ht="6" customHeight="1">
      <c r="A38" s="123"/>
      <c r="B38" s="124"/>
      <c r="C38" s="125"/>
      <c r="D38" s="146"/>
      <c r="E38" s="407"/>
      <c r="F38" s="126"/>
      <c r="G38" s="126"/>
      <c r="H38" s="149"/>
    </row>
    <row r="39" spans="1:8" s="89" customFormat="1" ht="18" customHeight="1">
      <c r="A39" s="119" t="s">
        <v>60</v>
      </c>
      <c r="B39" s="132"/>
      <c r="C39" s="121"/>
      <c r="D39" s="119"/>
      <c r="E39" s="296"/>
      <c r="F39" s="120"/>
      <c r="G39" s="133" t="e">
        <f>SUM(G40:G41)</f>
        <v>#VALUE!</v>
      </c>
      <c r="H39" s="254" t="e">
        <f>SUM(H40:H41)</f>
        <v>#VALUE!</v>
      </c>
    </row>
    <row r="40" spans="1:8" s="90" customFormat="1">
      <c r="A40" s="172" t="s">
        <v>179</v>
      </c>
      <c r="B40" s="264" t="str">
        <f>Custos!B43</f>
        <v>Equipe de topografia de campo</v>
      </c>
      <c r="C40" s="174" t="str">
        <f>Custos!G43</f>
        <v>preencher</v>
      </c>
      <c r="D40" s="212" t="str">
        <f>Custos!E43</f>
        <v>mês</v>
      </c>
      <c r="E40" s="407">
        <v>0</v>
      </c>
      <c r="F40" s="169" t="e">
        <f>ROUND(C40*E40,2)</f>
        <v>#VALUE!</v>
      </c>
      <c r="G40" s="169" t="e">
        <f>ROUND((F40*K!$G$24),2)</f>
        <v>#VALUE!</v>
      </c>
      <c r="H40" s="176" t="e">
        <f>G40/$G$50</f>
        <v>#VALUE!</v>
      </c>
    </row>
    <row r="41" spans="1:8" s="90" customFormat="1">
      <c r="A41" s="172" t="s">
        <v>182</v>
      </c>
      <c r="B41" s="264" t="str">
        <f>Custos!B44</f>
        <v>Equipe de topografia de escritório</v>
      </c>
      <c r="C41" s="174" t="str">
        <f>Custos!G44</f>
        <v>preencher</v>
      </c>
      <c r="D41" s="212" t="str">
        <f>Custos!E44</f>
        <v>mês</v>
      </c>
      <c r="E41" s="407">
        <v>0</v>
      </c>
      <c r="F41" s="169" t="e">
        <f>ROUND(C41*E41,2)</f>
        <v>#VALUE!</v>
      </c>
      <c r="G41" s="169" t="e">
        <f>ROUND((F41*K!$G$24),2)</f>
        <v>#VALUE!</v>
      </c>
      <c r="H41" s="176" t="e">
        <f>G41/$G$50</f>
        <v>#VALUE!</v>
      </c>
    </row>
    <row r="42" spans="1:8" ht="5.0999999999999996" customHeight="1">
      <c r="A42" s="172"/>
      <c r="B42" s="134"/>
      <c r="C42" s="128"/>
      <c r="D42" s="167"/>
      <c r="E42" s="407"/>
      <c r="F42" s="122"/>
      <c r="G42" s="122"/>
      <c r="H42" s="148"/>
    </row>
    <row r="43" spans="1:8" s="89" customFormat="1" ht="18" customHeight="1">
      <c r="A43" s="245" t="s">
        <v>255</v>
      </c>
      <c r="B43" s="143"/>
      <c r="C43" s="144"/>
      <c r="D43" s="142"/>
      <c r="E43" s="295"/>
      <c r="F43" s="143"/>
      <c r="G43" s="250" t="e">
        <f>G45</f>
        <v>#VALUE!</v>
      </c>
      <c r="H43" s="240" t="e">
        <f>G43/$G$50</f>
        <v>#VALUE!</v>
      </c>
    </row>
    <row r="44" spans="1:8" ht="5.0999999999999996" customHeight="1">
      <c r="A44" s="246"/>
      <c r="B44" s="134"/>
      <c r="C44" s="128"/>
      <c r="D44" s="122"/>
      <c r="E44" s="293"/>
      <c r="F44" s="122"/>
      <c r="G44" s="122"/>
      <c r="H44" s="148"/>
    </row>
    <row r="45" spans="1:8" s="89" customFormat="1" ht="18" customHeight="1">
      <c r="A45" s="119" t="s">
        <v>71</v>
      </c>
      <c r="B45" s="120"/>
      <c r="C45" s="121"/>
      <c r="D45" s="119"/>
      <c r="E45" s="296"/>
      <c r="F45" s="120"/>
      <c r="G45" s="138" t="e">
        <f>SUM(G46:G48)</f>
        <v>#VALUE!</v>
      </c>
      <c r="H45" s="253" t="e">
        <f>SUM(H46:H48)</f>
        <v>#VALUE!</v>
      </c>
    </row>
    <row r="46" spans="1:8" s="90" customFormat="1">
      <c r="A46" s="172" t="s">
        <v>179</v>
      </c>
      <c r="B46" s="173" t="str">
        <f>Custos!B49</f>
        <v>Veículo tipo pick-up 4X4</v>
      </c>
      <c r="C46" s="174" t="e">
        <f>'Produto Consolidado'!C46</f>
        <v>#VALUE!</v>
      </c>
      <c r="D46" s="212" t="str">
        <f>'P1'!D46</f>
        <v>R$/dia</v>
      </c>
      <c r="E46" s="407">
        <v>0</v>
      </c>
      <c r="F46" s="169" t="e">
        <f>ROUND(C46*E46,2)</f>
        <v>#VALUE!</v>
      </c>
      <c r="G46" s="169" t="e">
        <f>ROUND((F46*K!$G$25),2)</f>
        <v>#VALUE!</v>
      </c>
      <c r="H46" s="176" t="e">
        <f>G46/$G$50</f>
        <v>#VALUE!</v>
      </c>
    </row>
    <row r="47" spans="1:8" s="90" customFormat="1" ht="16.149999999999999" customHeight="1">
      <c r="A47" s="172" t="s">
        <v>182</v>
      </c>
      <c r="B47" s="173" t="str">
        <f>Custos!B50</f>
        <v>Refeições</v>
      </c>
      <c r="C47" s="174" t="str">
        <f>'P1'!C47</f>
        <v>preencher</v>
      </c>
      <c r="D47" s="212" t="str">
        <f>'P1'!D47</f>
        <v>unidade</v>
      </c>
      <c r="E47" s="407">
        <v>0</v>
      </c>
      <c r="F47" s="169" t="e">
        <f>ROUND(C47*E47,2)</f>
        <v>#VALUE!</v>
      </c>
      <c r="G47" s="169" t="e">
        <f>ROUND((F47*K!$G$25),2)</f>
        <v>#VALUE!</v>
      </c>
      <c r="H47" s="176" t="e">
        <f>G47/$G$50</f>
        <v>#VALUE!</v>
      </c>
    </row>
    <row r="48" spans="1:8" s="90" customFormat="1" ht="16.149999999999999" customHeight="1">
      <c r="A48" s="172" t="s">
        <v>184</v>
      </c>
      <c r="B48" s="173" t="str">
        <f>Custos!B51</f>
        <v>Diárias</v>
      </c>
      <c r="C48" s="174" t="str">
        <f>'P1'!C48</f>
        <v>preencher</v>
      </c>
      <c r="D48" s="212" t="str">
        <f>'P1'!D48</f>
        <v>unidade</v>
      </c>
      <c r="E48" s="407">
        <v>0</v>
      </c>
      <c r="F48" s="169" t="e">
        <f>ROUND(C48*E48,2)</f>
        <v>#VALUE!</v>
      </c>
      <c r="G48" s="169" t="e">
        <f>ROUND((F48*K!$G$25),2)</f>
        <v>#VALUE!</v>
      </c>
      <c r="H48" s="176" t="e">
        <f>G48/$G$50</f>
        <v>#VALUE!</v>
      </c>
    </row>
    <row r="49" spans="1:9" ht="6" customHeight="1">
      <c r="A49" s="117"/>
      <c r="B49" s="135"/>
      <c r="C49" s="136"/>
      <c r="D49" s="146"/>
      <c r="E49" s="126"/>
      <c r="F49" s="126"/>
      <c r="G49" s="137"/>
      <c r="H49" s="150"/>
    </row>
    <row r="50" spans="1:9" ht="18" customHeight="1">
      <c r="A50" s="464" t="s">
        <v>256</v>
      </c>
      <c r="B50" s="464"/>
      <c r="C50" s="247"/>
      <c r="D50" s="248"/>
      <c r="E50" s="249"/>
      <c r="F50" s="247" t="s">
        <v>237</v>
      </c>
      <c r="G50" s="247" t="e">
        <f>ROUND((G7+G16+G26+G43),2)</f>
        <v>#VALUE!</v>
      </c>
      <c r="H50" s="252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0"/>
    </row>
    <row r="52" spans="1:9" ht="20.100000000000001" customHeight="1">
      <c r="A52" s="465" t="s">
        <v>286</v>
      </c>
      <c r="B52" s="465"/>
      <c r="C52" s="465"/>
      <c r="D52" s="465"/>
      <c r="E52" s="465"/>
      <c r="F52" s="465"/>
      <c r="G52" s="465"/>
      <c r="H52" s="465"/>
    </row>
    <row r="53" spans="1:9" ht="24" customHeight="1">
      <c r="A53" s="465" t="s">
        <v>287</v>
      </c>
      <c r="B53" s="465"/>
      <c r="C53" s="465"/>
      <c r="D53" s="465"/>
      <c r="E53" s="465"/>
      <c r="F53" s="465"/>
      <c r="G53" s="465"/>
      <c r="H53" s="465"/>
    </row>
    <row r="54" spans="1:9" ht="13.15" customHeight="1">
      <c r="A54" s="465" t="s">
        <v>288</v>
      </c>
      <c r="B54" s="465"/>
      <c r="C54" s="465"/>
      <c r="D54" s="465"/>
      <c r="E54" s="465"/>
      <c r="F54" s="465"/>
      <c r="G54" s="465"/>
      <c r="H54" s="465"/>
    </row>
    <row r="55" spans="1:9" ht="13.15" customHeight="1">
      <c r="A55" s="118"/>
      <c r="B55" s="461"/>
      <c r="C55" s="461"/>
      <c r="D55" s="461"/>
      <c r="E55" s="461"/>
      <c r="F55" s="461"/>
      <c r="G55" s="461"/>
      <c r="H55" s="461"/>
    </row>
    <row r="56" spans="1:9" ht="13.15" customHeight="1">
      <c r="A56" s="118"/>
      <c r="B56" s="225"/>
      <c r="C56" s="225"/>
      <c r="D56" s="225"/>
      <c r="E56" s="225"/>
      <c r="F56" s="225"/>
      <c r="G56" s="225"/>
      <c r="H56" s="225"/>
    </row>
    <row r="57" spans="1:9" ht="13.15" customHeight="1">
      <c r="A57" s="459"/>
      <c r="B57" s="459"/>
      <c r="C57" s="459"/>
      <c r="D57" s="459"/>
      <c r="E57" s="459"/>
      <c r="F57" s="459"/>
      <c r="G57" s="225"/>
      <c r="H57" s="225"/>
    </row>
    <row r="58" spans="1:9" ht="13.15" customHeight="1">
      <c r="A58" s="460"/>
      <c r="B58" s="460"/>
      <c r="C58" s="460"/>
      <c r="D58" s="460"/>
      <c r="E58" s="460"/>
      <c r="F58" s="460"/>
      <c r="G58" s="225"/>
      <c r="H58" s="225"/>
    </row>
    <row r="59" spans="1:9" ht="13.15" customHeight="1">
      <c r="A59" s="460"/>
      <c r="B59" s="460"/>
      <c r="C59" s="460"/>
      <c r="D59" s="460"/>
      <c r="E59" s="460"/>
      <c r="F59" s="460"/>
      <c r="G59" s="225"/>
      <c r="H59" s="225"/>
    </row>
    <row r="60" spans="1:9">
      <c r="A60" s="331"/>
      <c r="B60" s="97"/>
      <c r="D60" s="97"/>
      <c r="E60" s="97"/>
      <c r="I60"/>
    </row>
    <row r="61" spans="1:9" ht="15" customHeight="1">
      <c r="A61" s="459"/>
      <c r="B61" s="459"/>
      <c r="C61" s="459"/>
      <c r="D61" s="459"/>
      <c r="E61" s="459"/>
      <c r="F61" s="459"/>
      <c r="G61" s="271"/>
      <c r="H61" s="258"/>
      <c r="I61"/>
    </row>
    <row r="62" spans="1:9" ht="15" customHeight="1">
      <c r="A62" s="460"/>
      <c r="B62" s="460"/>
      <c r="C62" s="460"/>
      <c r="D62" s="460"/>
      <c r="E62" s="460"/>
      <c r="F62" s="460"/>
      <c r="G62" s="257"/>
      <c r="H62" s="258"/>
    </row>
    <row r="63" spans="1:9" ht="15" customHeight="1">
      <c r="A63" s="460"/>
      <c r="B63" s="460"/>
      <c r="C63" s="460"/>
      <c r="D63" s="460"/>
      <c r="E63" s="460"/>
      <c r="F63" s="460"/>
      <c r="G63" s="126"/>
      <c r="H63" s="259"/>
      <c r="I63" s="89"/>
    </row>
  </sheetData>
  <sheetProtection algorithmName="SHA-512" hashValue="U7ZAcMUz6tWz5vbi4bA7C8hVUTaGQvohL3iXHwEekU+LxrSVYXjrY/5Dz963UBjGfjks+xgqAlGru5SPMKNJNA==" saltValue="29S4iImbqJrLdYxt54g7yQ==" spinCount="100000" sheet="1" objects="1" scenarios="1"/>
  <mergeCells count="19">
    <mergeCell ref="C62:F62"/>
    <mergeCell ref="C63:F63"/>
    <mergeCell ref="C61:F61"/>
    <mergeCell ref="A61:B61"/>
    <mergeCell ref="A62:B62"/>
    <mergeCell ref="A63:B63"/>
    <mergeCell ref="B55:H55"/>
    <mergeCell ref="B1:H1"/>
    <mergeCell ref="C6:D6"/>
    <mergeCell ref="A50:B50"/>
    <mergeCell ref="A52:H52"/>
    <mergeCell ref="A53:H53"/>
    <mergeCell ref="A54:H54"/>
    <mergeCell ref="C57:F57"/>
    <mergeCell ref="C58:F58"/>
    <mergeCell ref="C59:F59"/>
    <mergeCell ref="A57:B57"/>
    <mergeCell ref="A58:B58"/>
    <mergeCell ref="A59:B59"/>
  </mergeCells>
  <conditionalFormatting sqref="A52:H54">
    <cfRule type="containsText" dxfId="4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3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8AD18-76A3-4BFA-A7F0-2DE85BECF4A6}">
  <sheetPr codeName="Planilha15">
    <tabColor theme="8" tint="-0.249977111117893"/>
    <pageSetUpPr fitToPage="1"/>
  </sheetPr>
  <dimension ref="A1:J63"/>
  <sheetViews>
    <sheetView view="pageBreakPreview" zoomScale="60" zoomScaleNormal="100" workbookViewId="0">
      <selection activeCell="E10" sqref="E10:E48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2" t="s">
        <v>169</v>
      </c>
      <c r="C1" s="462"/>
      <c r="D1" s="462"/>
      <c r="E1" s="462"/>
      <c r="F1" s="462"/>
      <c r="G1" s="462"/>
      <c r="H1" s="462"/>
    </row>
    <row r="2" spans="1:10" s="89" customFormat="1" ht="15" customHeight="1">
      <c r="A2" s="77" t="s">
        <v>262</v>
      </c>
      <c r="B2" s="89" t="s">
        <v>282</v>
      </c>
      <c r="C2" s="394" t="s">
        <v>283</v>
      </c>
      <c r="D2" s="145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5"/>
      <c r="H3" s="98"/>
    </row>
    <row r="4" spans="1:10" s="89" customFormat="1" ht="15" customHeight="1">
      <c r="A4" s="77" t="s">
        <v>135</v>
      </c>
      <c r="C4" s="80" t="str">
        <f>Capa!B30</f>
        <v>Resplendor/MG</v>
      </c>
      <c r="D4" s="145"/>
      <c r="G4" s="87"/>
      <c r="H4" s="86"/>
    </row>
    <row r="5" spans="1:10" ht="6" customHeight="1">
      <c r="A5" s="123"/>
      <c r="B5" s="124"/>
      <c r="C5" s="125"/>
      <c r="D5" s="146"/>
      <c r="E5" s="127"/>
      <c r="F5" s="126"/>
      <c r="G5" s="126"/>
      <c r="H5" s="149"/>
    </row>
    <row r="6" spans="1:10" s="100" customFormat="1" ht="47.45" customHeight="1">
      <c r="A6" s="232" t="s">
        <v>248</v>
      </c>
      <c r="B6" s="233" t="s">
        <v>249</v>
      </c>
      <c r="C6" s="463" t="s">
        <v>250</v>
      </c>
      <c r="D6" s="463"/>
      <c r="E6" s="234" t="s">
        <v>251</v>
      </c>
      <c r="F6" s="235" t="s">
        <v>252</v>
      </c>
      <c r="G6" s="235" t="s">
        <v>253</v>
      </c>
      <c r="H6" s="235" t="s">
        <v>254</v>
      </c>
    </row>
    <row r="7" spans="1:10" s="89" customFormat="1" ht="18" customHeight="1">
      <c r="A7" s="236">
        <v>1</v>
      </c>
      <c r="B7" s="237"/>
      <c r="C7" s="238"/>
      <c r="D7" s="236"/>
      <c r="E7" s="237"/>
      <c r="F7" s="237"/>
      <c r="G7" s="239" t="e">
        <f>G9</f>
        <v>#VALUE!</v>
      </c>
      <c r="H7" s="240" t="e">
        <f>G7/$G$50</f>
        <v>#VALUE!</v>
      </c>
    </row>
    <row r="8" spans="1:10" ht="6" customHeight="1">
      <c r="A8" s="123"/>
      <c r="B8" s="124"/>
      <c r="C8" s="125"/>
      <c r="D8" s="146"/>
      <c r="E8" s="127"/>
      <c r="F8" s="126"/>
      <c r="G8" s="126"/>
      <c r="H8" s="149"/>
    </row>
    <row r="9" spans="1:10" s="89" customFormat="1" ht="18" customHeight="1">
      <c r="A9" s="139" t="s">
        <v>28</v>
      </c>
      <c r="B9" s="140"/>
      <c r="C9" s="141"/>
      <c r="D9" s="139"/>
      <c r="E9" s="140"/>
      <c r="F9" s="140"/>
      <c r="G9" s="251" t="e">
        <f>SUM(G10:G14)</f>
        <v>#VALUE!</v>
      </c>
      <c r="H9" s="255" t="e">
        <f>SUM(H10:H14)</f>
        <v>#VALUE!</v>
      </c>
    </row>
    <row r="10" spans="1:10" s="90" customFormat="1" ht="16.149999999999999" customHeight="1">
      <c r="A10" s="172" t="s">
        <v>179</v>
      </c>
      <c r="B10" s="168" t="str">
        <f>Custos!B13</f>
        <v>Engenheiro Coordenador</v>
      </c>
      <c r="C10" s="169" t="e">
        <f>Custos!G13</f>
        <v>#VALUE!</v>
      </c>
      <c r="D10" s="167" t="s">
        <v>181</v>
      </c>
      <c r="E10" s="268">
        <v>3.5</v>
      </c>
      <c r="F10" s="169" t="e">
        <f>ROUND(C10*E10,2)</f>
        <v>#VALUE!</v>
      </c>
      <c r="G10" s="169" t="e">
        <f>ROUND((F10*K!$G$22),2)</f>
        <v>#VALUE!</v>
      </c>
      <c r="H10" s="176" t="e">
        <f>G10/$G$50</f>
        <v>#VALUE!</v>
      </c>
      <c r="J10" s="91"/>
    </row>
    <row r="11" spans="1:10" s="90" customFormat="1" ht="16.149999999999999" customHeight="1">
      <c r="A11" s="172" t="s">
        <v>182</v>
      </c>
      <c r="B11" s="168" t="str">
        <f>Custos!B14</f>
        <v>Engenheiro de Projetos Pleno</v>
      </c>
      <c r="C11" s="171" t="e">
        <f>Custos!G14</f>
        <v>#VALUE!</v>
      </c>
      <c r="D11" s="170" t="s">
        <v>181</v>
      </c>
      <c r="E11" s="268">
        <v>7</v>
      </c>
      <c r="F11" s="169" t="e">
        <f>ROUND(C11*E11,2)</f>
        <v>#VALUE!</v>
      </c>
      <c r="G11" s="169" t="e">
        <f>ROUND((F11*K!$G$22),2)</f>
        <v>#VALUE!</v>
      </c>
      <c r="H11" s="176" t="e">
        <f>G11/$G$50</f>
        <v>#VALUE!</v>
      </c>
      <c r="J11" s="91"/>
    </row>
    <row r="12" spans="1:10" s="90" customFormat="1" ht="16.149999999999999" customHeight="1">
      <c r="A12" s="172" t="s">
        <v>184</v>
      </c>
      <c r="B12" s="168" t="str">
        <f>Custos!B15</f>
        <v>Engenheiro de Projetos Júnior</v>
      </c>
      <c r="C12" s="171" t="e">
        <f>Custos!G15</f>
        <v>#VALUE!</v>
      </c>
      <c r="D12" s="170" t="s">
        <v>181</v>
      </c>
      <c r="E12" s="268">
        <v>7</v>
      </c>
      <c r="F12" s="169" t="e">
        <f>ROUND(C12*E12,2)</f>
        <v>#VALUE!</v>
      </c>
      <c r="G12" s="169" t="e">
        <f>ROUND((F12*K!$G$22),2)</f>
        <v>#VALUE!</v>
      </c>
      <c r="H12" s="176" t="e">
        <f>G12/$G$50</f>
        <v>#VALUE!</v>
      </c>
      <c r="J12" s="91"/>
    </row>
    <row r="13" spans="1:10" s="90" customFormat="1" ht="16.149999999999999" customHeight="1">
      <c r="A13" s="172" t="s">
        <v>186</v>
      </c>
      <c r="B13" s="168" t="str">
        <f>Custos!B16</f>
        <v>Técnico cadista</v>
      </c>
      <c r="C13" s="171" t="e">
        <f>Custos!G16</f>
        <v>#VALUE!</v>
      </c>
      <c r="D13" s="170" t="s">
        <v>181</v>
      </c>
      <c r="E13" s="268">
        <v>0</v>
      </c>
      <c r="F13" s="169" t="e">
        <f>ROUND(C13*E13,2)</f>
        <v>#VALUE!</v>
      </c>
      <c r="G13" s="169" t="e">
        <f>ROUND((F13*K!$G$22),2)</f>
        <v>#VALUE!</v>
      </c>
      <c r="H13" s="176" t="e">
        <f>G13/$G$50</f>
        <v>#VALUE!</v>
      </c>
      <c r="J13" s="91"/>
    </row>
    <row r="14" spans="1:10" s="90" customFormat="1" ht="16.149999999999999" customHeight="1">
      <c r="A14" s="172" t="s">
        <v>188</v>
      </c>
      <c r="B14" s="168" t="str">
        <f>Custos!B17</f>
        <v>Auxiliar Administrativo</v>
      </c>
      <c r="C14" s="171" t="e">
        <f>Custos!G17</f>
        <v>#VALUE!</v>
      </c>
      <c r="D14" s="170" t="s">
        <v>181</v>
      </c>
      <c r="E14" s="268">
        <v>28</v>
      </c>
      <c r="F14" s="169" t="e">
        <f>ROUND(C14*E14,2)</f>
        <v>#VALUE!</v>
      </c>
      <c r="G14" s="169" t="e">
        <f>ROUND((F14*K!$G$22),2)</f>
        <v>#VALUE!</v>
      </c>
      <c r="H14" s="176" t="e">
        <f>G14/$G$50</f>
        <v>#VALUE!</v>
      </c>
      <c r="J14" s="91"/>
    </row>
    <row r="15" spans="1:10" ht="6" customHeight="1">
      <c r="A15" s="123"/>
      <c r="B15" s="124"/>
      <c r="C15" s="125"/>
      <c r="D15" s="146"/>
      <c r="E15" s="289"/>
      <c r="F15" s="126"/>
      <c r="G15" s="126"/>
      <c r="H15" s="149"/>
    </row>
    <row r="16" spans="1:10" s="89" customFormat="1" ht="18" customHeight="1">
      <c r="A16" s="236">
        <v>2</v>
      </c>
      <c r="B16" s="237"/>
      <c r="C16" s="238"/>
      <c r="D16" s="236"/>
      <c r="E16" s="291"/>
      <c r="F16" s="237"/>
      <c r="G16" s="239" t="e">
        <f>G18</f>
        <v>#VALUE!</v>
      </c>
      <c r="H16" s="240" t="e">
        <f>G16/$G$50</f>
        <v>#VALUE!</v>
      </c>
    </row>
    <row r="17" spans="1:10" ht="5.0999999999999996" customHeight="1">
      <c r="A17" s="129"/>
      <c r="B17" s="131"/>
      <c r="C17" s="128"/>
      <c r="D17" s="122"/>
      <c r="E17" s="293"/>
      <c r="F17" s="122"/>
      <c r="G17" s="122"/>
      <c r="H17" s="148"/>
    </row>
    <row r="18" spans="1:10" s="89" customFormat="1" ht="18" customHeight="1">
      <c r="A18" s="241" t="s">
        <v>46</v>
      </c>
      <c r="B18" s="242"/>
      <c r="C18" s="243"/>
      <c r="D18" s="241"/>
      <c r="E18" s="294"/>
      <c r="F18" s="243"/>
      <c r="G18" s="244" t="e">
        <f>SUM(G19:G24)</f>
        <v>#VALUE!</v>
      </c>
      <c r="H18" s="256" t="e">
        <f>SUM(H19:H24)</f>
        <v>#VALUE!</v>
      </c>
    </row>
    <row r="19" spans="1:10" s="90" customFormat="1" ht="16.149999999999999" customHeight="1">
      <c r="A19" s="172" t="s">
        <v>179</v>
      </c>
      <c r="B19" s="168" t="str">
        <f>Custos!B22</f>
        <v>Advogado sênior</v>
      </c>
      <c r="C19" s="169" t="e">
        <f>Custos!G22</f>
        <v>#VALUE!</v>
      </c>
      <c r="D19" s="167" t="s">
        <v>181</v>
      </c>
      <c r="E19" s="268">
        <v>7</v>
      </c>
      <c r="F19" s="169" t="e">
        <f t="shared" ref="F19:F24" si="0">ROUND(C19*E19,2)</f>
        <v>#VALUE!</v>
      </c>
      <c r="G19" s="169" t="e">
        <f>ROUND((F19*K!$G$23),2)</f>
        <v>#VALUE!</v>
      </c>
      <c r="H19" s="175" t="e">
        <f t="shared" ref="H19:H24" si="1">G19/$G$50</f>
        <v>#VALUE!</v>
      </c>
    </row>
    <row r="20" spans="1:10" s="90" customFormat="1" ht="16.149999999999999" customHeight="1">
      <c r="A20" s="172" t="s">
        <v>182</v>
      </c>
      <c r="B20" s="168" t="str">
        <f>Custos!B23</f>
        <v>Engenheiro de Projetos (Elétrico)</v>
      </c>
      <c r="C20" s="169" t="e">
        <f>Custos!G23</f>
        <v>#VALUE!</v>
      </c>
      <c r="D20" s="167" t="s">
        <v>181</v>
      </c>
      <c r="E20" s="268">
        <v>0</v>
      </c>
      <c r="F20" s="169" t="e">
        <f t="shared" si="0"/>
        <v>#VALUE!</v>
      </c>
      <c r="G20" s="169" t="e">
        <f>ROUND((F20*K!$G$23),2)</f>
        <v>#VALUE!</v>
      </c>
      <c r="H20" s="175" t="e">
        <f t="shared" si="1"/>
        <v>#VALUE!</v>
      </c>
    </row>
    <row r="21" spans="1:10" s="90" customFormat="1" ht="16.149999999999999" customHeight="1">
      <c r="A21" s="172" t="s">
        <v>184</v>
      </c>
      <c r="B21" s="168" t="str">
        <f>Custos!B24</f>
        <v>Engenheiro de Projeto (Calculista)</v>
      </c>
      <c r="C21" s="169" t="e">
        <f>Custos!G24</f>
        <v>#VALUE!</v>
      </c>
      <c r="D21" s="167" t="s">
        <v>181</v>
      </c>
      <c r="E21" s="268">
        <v>0</v>
      </c>
      <c r="F21" s="169" t="e">
        <f t="shared" si="0"/>
        <v>#VALUE!</v>
      </c>
      <c r="G21" s="169" t="e">
        <f>ROUND((F21*K!$G$23),2)</f>
        <v>#VALUE!</v>
      </c>
      <c r="H21" s="175" t="e">
        <f t="shared" si="1"/>
        <v>#VALUE!</v>
      </c>
    </row>
    <row r="22" spans="1:10" s="90" customFormat="1" ht="16.149999999999999" customHeight="1">
      <c r="A22" s="172" t="s">
        <v>186</v>
      </c>
      <c r="B22" s="168" t="str">
        <f>Custos!B25</f>
        <v>Engenheiro de Projetos (Mecânico)</v>
      </c>
      <c r="C22" s="169" t="e">
        <f>Custos!G25</f>
        <v>#VALUE!</v>
      </c>
      <c r="D22" s="167" t="s">
        <v>181</v>
      </c>
      <c r="E22" s="268">
        <v>0</v>
      </c>
      <c r="F22" s="169" t="e">
        <f t="shared" si="0"/>
        <v>#VALUE!</v>
      </c>
      <c r="G22" s="169" t="e">
        <f>ROUND((F22*K!$G$23),2)</f>
        <v>#VALUE!</v>
      </c>
      <c r="H22" s="175" t="e">
        <f t="shared" si="1"/>
        <v>#VALUE!</v>
      </c>
    </row>
    <row r="23" spans="1:10" s="90" customFormat="1" ht="16.149999999999999" customHeight="1">
      <c r="A23" s="172" t="s">
        <v>188</v>
      </c>
      <c r="B23" s="168" t="str">
        <f>Custos!B26</f>
        <v>Engenheiro ambiental</v>
      </c>
      <c r="C23" s="169" t="e">
        <f>Custos!G26</f>
        <v>#VALUE!</v>
      </c>
      <c r="D23" s="167" t="s">
        <v>181</v>
      </c>
      <c r="E23" s="268">
        <v>56</v>
      </c>
      <c r="F23" s="169" t="e">
        <f t="shared" si="0"/>
        <v>#VALUE!</v>
      </c>
      <c r="G23" s="169" t="e">
        <f>ROUND((F23*K!$G$23),2)</f>
        <v>#VALUE!</v>
      </c>
      <c r="H23" s="175" t="e">
        <f t="shared" si="1"/>
        <v>#VALUE!</v>
      </c>
    </row>
    <row r="24" spans="1:10" s="90" customFormat="1" ht="16.149999999999999" customHeight="1">
      <c r="A24" s="172" t="s">
        <v>197</v>
      </c>
      <c r="B24" s="168" t="str">
        <f>Custos!B27</f>
        <v>Técnico em geoprocessamento</v>
      </c>
      <c r="C24" s="169" t="e">
        <f>Custos!G27</f>
        <v>#VALUE!</v>
      </c>
      <c r="D24" s="167" t="s">
        <v>181</v>
      </c>
      <c r="E24" s="268">
        <v>0</v>
      </c>
      <c r="F24" s="169" t="e">
        <f t="shared" si="0"/>
        <v>#VALUE!</v>
      </c>
      <c r="G24" s="169" t="e">
        <f>ROUND((F24*K!$G$23),2)</f>
        <v>#VALUE!</v>
      </c>
      <c r="H24" s="175" t="e">
        <f t="shared" si="1"/>
        <v>#VALUE!</v>
      </c>
      <c r="J24" s="91"/>
    </row>
    <row r="25" spans="1:10" ht="6" customHeight="1">
      <c r="A25" s="123"/>
      <c r="B25" s="124"/>
      <c r="C25" s="125"/>
      <c r="D25" s="146"/>
      <c r="E25" s="289"/>
      <c r="F25" s="126"/>
      <c r="G25" s="126"/>
      <c r="H25" s="149"/>
    </row>
    <row r="26" spans="1:10" s="89" customFormat="1" ht="18" customHeight="1">
      <c r="A26" s="245">
        <v>3</v>
      </c>
      <c r="B26" s="143"/>
      <c r="C26" s="144"/>
      <c r="D26" s="142"/>
      <c r="E26" s="295"/>
      <c r="F26" s="143"/>
      <c r="G26" s="250" t="e">
        <f>G28+G33+G39</f>
        <v>#VALUE!</v>
      </c>
      <c r="H26" s="240" t="e">
        <f>G26/$G$50</f>
        <v>#VALUE!</v>
      </c>
    </row>
    <row r="27" spans="1:10" ht="5.0999999999999996" customHeight="1">
      <c r="A27" s="129"/>
      <c r="B27" s="131"/>
      <c r="C27" s="128"/>
      <c r="D27" s="122"/>
      <c r="E27" s="293"/>
      <c r="F27" s="122"/>
      <c r="G27" s="122"/>
      <c r="H27" s="148"/>
    </row>
    <row r="28" spans="1:10" s="89" customFormat="1" ht="18" customHeight="1">
      <c r="A28" s="139" t="s">
        <v>58</v>
      </c>
      <c r="B28" s="140"/>
      <c r="C28" s="141"/>
      <c r="D28" s="139"/>
      <c r="E28" s="292"/>
      <c r="F28" s="140"/>
      <c r="G28" s="251" t="e">
        <f>SUM(G29:G31)</f>
        <v>#VALUE!</v>
      </c>
      <c r="H28" s="255" t="e">
        <f>SUM(H29:H31)</f>
        <v>#VALUE!</v>
      </c>
    </row>
    <row r="29" spans="1:10" s="90" customFormat="1">
      <c r="A29" s="172" t="s">
        <v>179</v>
      </c>
      <c r="B29" s="264" t="str">
        <f>Custos!B38</f>
        <v>Mobilização e desmobilização de equipe de topografia</v>
      </c>
      <c r="C29" s="174" t="str">
        <f>Custos!G38</f>
        <v>preencher</v>
      </c>
      <c r="D29" s="212" t="str">
        <f>Custos!E38</f>
        <v>km</v>
      </c>
      <c r="E29" s="407">
        <v>0</v>
      </c>
      <c r="F29" s="169" t="e">
        <f>ROUND(C29*E29,2)</f>
        <v>#VALUE!</v>
      </c>
      <c r="G29" s="169" t="e">
        <f>ROUND((F29*K!$G$24),2)</f>
        <v>#VALUE!</v>
      </c>
      <c r="H29" s="176" t="e">
        <f>G29/$G$50</f>
        <v>#VALUE!</v>
      </c>
    </row>
    <row r="30" spans="1:10" s="90" customFormat="1">
      <c r="A30" s="172" t="s">
        <v>182</v>
      </c>
      <c r="B30" s="264" t="str">
        <f>Custos!B39</f>
        <v>Equipe de topografia de campo</v>
      </c>
      <c r="C30" s="174" t="str">
        <f>Custos!G39</f>
        <v>preencher</v>
      </c>
      <c r="D30" s="212" t="str">
        <f>Custos!E39</f>
        <v>mês</v>
      </c>
      <c r="E30" s="407">
        <v>0</v>
      </c>
      <c r="F30" s="169" t="e">
        <f>ROUND(C30*E30,2)</f>
        <v>#VALUE!</v>
      </c>
      <c r="G30" s="169" t="e">
        <f>ROUND((F30*K!$G$24),2)</f>
        <v>#VALUE!</v>
      </c>
      <c r="H30" s="176" t="e">
        <f>G30/$G$50</f>
        <v>#VALUE!</v>
      </c>
    </row>
    <row r="31" spans="1:10" s="90" customFormat="1">
      <c r="A31" s="172" t="s">
        <v>184</v>
      </c>
      <c r="B31" s="264" t="str">
        <f>Custos!B40</f>
        <v>Equipe de topografia de escritório</v>
      </c>
      <c r="C31" s="174" t="str">
        <f>Custos!G40</f>
        <v>preencher</v>
      </c>
      <c r="D31" s="212" t="str">
        <f>Custos!E40</f>
        <v>mês</v>
      </c>
      <c r="E31" s="407">
        <v>0</v>
      </c>
      <c r="F31" s="169" t="e">
        <f>ROUND(C31*E31,2)</f>
        <v>#VALUE!</v>
      </c>
      <c r="G31" s="169" t="e">
        <f>ROUND((F31*K!$G$24),2)</f>
        <v>#VALUE!</v>
      </c>
      <c r="H31" s="176" t="e">
        <f>G31/$G$50</f>
        <v>#VALUE!</v>
      </c>
    </row>
    <row r="32" spans="1:10" ht="10.5" customHeight="1">
      <c r="A32" s="129"/>
      <c r="B32" s="131"/>
      <c r="C32" s="128"/>
      <c r="D32" s="212"/>
      <c r="E32" s="293"/>
      <c r="F32" s="122"/>
      <c r="G32" s="122"/>
      <c r="H32" s="148"/>
    </row>
    <row r="33" spans="1:8" s="89" customFormat="1" ht="18" customHeight="1">
      <c r="A33" s="119" t="s">
        <v>59</v>
      </c>
      <c r="B33" s="132"/>
      <c r="C33" s="121"/>
      <c r="D33" s="119"/>
      <c r="E33" s="296"/>
      <c r="F33" s="120"/>
      <c r="G33" s="133" t="e">
        <f>SUM(G35:G36)</f>
        <v>#VALUE!</v>
      </c>
      <c r="H33" s="254" t="e">
        <f>SUM(H35:H36)</f>
        <v>#VALUE!</v>
      </c>
    </row>
    <row r="34" spans="1:8" s="90" customFormat="1">
      <c r="A34" s="172" t="s">
        <v>179</v>
      </c>
      <c r="B34" s="264" t="str">
        <f>Custos!B32</f>
        <v>Sondagem a percussao - mobilizacao e desmobilizacao</v>
      </c>
      <c r="C34" s="174" t="str">
        <f>Custos!G32</f>
        <v>preencher</v>
      </c>
      <c r="D34" s="212" t="str">
        <f>Custos!E32</f>
        <v>unidade</v>
      </c>
      <c r="E34" s="407">
        <v>0</v>
      </c>
      <c r="F34" s="169" t="e">
        <f>ROUND(C34*E34,2)</f>
        <v>#VALUE!</v>
      </c>
      <c r="G34" s="169" t="e">
        <f>ROUND((F34*K!$G$24),2)</f>
        <v>#VALUE!</v>
      </c>
      <c r="H34" s="176" t="e">
        <f>G34/$G$50</f>
        <v>#VALUE!</v>
      </c>
    </row>
    <row r="35" spans="1:8" s="90" customFormat="1" ht="26.45" customHeight="1">
      <c r="A35" s="172" t="s">
        <v>182</v>
      </c>
      <c r="B35" s="277" t="str">
        <f>Custos!B33</f>
        <v>Sondagem a percussao - adicional de mobilizacao e desmobilizacao</v>
      </c>
      <c r="C35" s="174" t="str">
        <f>Custos!G33</f>
        <v>preencher</v>
      </c>
      <c r="D35" s="265" t="str">
        <f>Custos!E33</f>
        <v>km</v>
      </c>
      <c r="E35" s="407">
        <v>0</v>
      </c>
      <c r="F35" s="169" t="e">
        <f>ROUND(C35*E35,2)</f>
        <v>#VALUE!</v>
      </c>
      <c r="G35" s="169" t="e">
        <f>ROUND((F35*K!$G$24),2)</f>
        <v>#VALUE!</v>
      </c>
      <c r="H35" s="175" t="e">
        <f>G35/$G$50</f>
        <v>#VALUE!</v>
      </c>
    </row>
    <row r="36" spans="1:8" s="90" customFormat="1">
      <c r="A36" s="172" t="s">
        <v>184</v>
      </c>
      <c r="B36" s="264" t="str">
        <f>Custos!B34</f>
        <v>Sondagem a percussao - instalacao por furo</v>
      </c>
      <c r="C36" s="174" t="str">
        <f>Custos!G34</f>
        <v>preencher</v>
      </c>
      <c r="D36" s="212" t="str">
        <f>Custos!E34</f>
        <v>unidade</v>
      </c>
      <c r="E36" s="407">
        <v>0</v>
      </c>
      <c r="F36" s="169" t="e">
        <f>ROUND(C36*E36,2)</f>
        <v>#VALUE!</v>
      </c>
      <c r="G36" s="169" t="e">
        <f>ROUND((F36*K!$G$24),2)</f>
        <v>#VALUE!</v>
      </c>
      <c r="H36" s="176" t="e">
        <f>G36/$G$50</f>
        <v>#VALUE!</v>
      </c>
    </row>
    <row r="37" spans="1:8" s="90" customFormat="1" ht="26.45" customHeight="1">
      <c r="A37" s="172" t="s">
        <v>186</v>
      </c>
      <c r="B37" s="277" t="str">
        <f>Custos!B35</f>
        <v>Sondagem a percussao ø2.1/2" - perfuracao e retirada de amostras</v>
      </c>
      <c r="C37" s="174" t="str">
        <f>Custos!G35</f>
        <v>preencher</v>
      </c>
      <c r="D37" s="265" t="str">
        <f>Custos!E35</f>
        <v>m</v>
      </c>
      <c r="E37" s="407">
        <v>0</v>
      </c>
      <c r="F37" s="169" t="e">
        <f>ROUND(C37*E37,2)</f>
        <v>#VALUE!</v>
      </c>
      <c r="G37" s="169" t="e">
        <f>ROUND((F37*K!$G$24),2)</f>
        <v>#VALUE!</v>
      </c>
      <c r="H37" s="176" t="e">
        <f>G37/$G$50</f>
        <v>#VALUE!</v>
      </c>
    </row>
    <row r="38" spans="1:8" ht="6" customHeight="1">
      <c r="A38" s="123"/>
      <c r="B38" s="124"/>
      <c r="C38" s="125"/>
      <c r="D38" s="146"/>
      <c r="E38" s="407"/>
      <c r="F38" s="126"/>
      <c r="G38" s="126"/>
      <c r="H38" s="149"/>
    </row>
    <row r="39" spans="1:8" s="89" customFormat="1" ht="18" customHeight="1">
      <c r="A39" s="119" t="s">
        <v>60</v>
      </c>
      <c r="B39" s="132"/>
      <c r="C39" s="121"/>
      <c r="D39" s="119"/>
      <c r="E39" s="296"/>
      <c r="F39" s="120"/>
      <c r="G39" s="133" t="e">
        <f>SUM(G40:G41)</f>
        <v>#VALUE!</v>
      </c>
      <c r="H39" s="254" t="e">
        <f>SUM(H40:H41)</f>
        <v>#VALUE!</v>
      </c>
    </row>
    <row r="40" spans="1:8" s="90" customFormat="1">
      <c r="A40" s="172" t="s">
        <v>179</v>
      </c>
      <c r="B40" s="264" t="str">
        <f>Custos!B43</f>
        <v>Equipe de topografia de campo</v>
      </c>
      <c r="C40" s="174" t="str">
        <f>Custos!G43</f>
        <v>preencher</v>
      </c>
      <c r="D40" s="212" t="str">
        <f>Custos!E43</f>
        <v>mês</v>
      </c>
      <c r="E40" s="407">
        <v>0</v>
      </c>
      <c r="F40" s="169" t="e">
        <f>ROUND(C40*E40,2)</f>
        <v>#VALUE!</v>
      </c>
      <c r="G40" s="169" t="e">
        <f>ROUND((F40*K!$G$24),2)</f>
        <v>#VALUE!</v>
      </c>
      <c r="H40" s="176" t="e">
        <f>G40/$G$50</f>
        <v>#VALUE!</v>
      </c>
    </row>
    <row r="41" spans="1:8" s="90" customFormat="1">
      <c r="A41" s="172" t="s">
        <v>182</v>
      </c>
      <c r="B41" s="264" t="str">
        <f>Custos!B44</f>
        <v>Equipe de topografia de escritório</v>
      </c>
      <c r="C41" s="174" t="str">
        <f>Custos!G44</f>
        <v>preencher</v>
      </c>
      <c r="D41" s="212" t="str">
        <f>Custos!E44</f>
        <v>mês</v>
      </c>
      <c r="E41" s="407">
        <v>0</v>
      </c>
      <c r="F41" s="169" t="e">
        <f>ROUND(C41*E41,2)</f>
        <v>#VALUE!</v>
      </c>
      <c r="G41" s="169" t="e">
        <f>ROUND((F41*K!$G$24),2)</f>
        <v>#VALUE!</v>
      </c>
      <c r="H41" s="176" t="e">
        <f>G41/$G$50</f>
        <v>#VALUE!</v>
      </c>
    </row>
    <row r="42" spans="1:8" ht="5.0999999999999996" customHeight="1">
      <c r="A42" s="172"/>
      <c r="B42" s="134"/>
      <c r="C42" s="128"/>
      <c r="D42" s="167"/>
      <c r="E42" s="407"/>
      <c r="F42" s="122"/>
      <c r="G42" s="122"/>
      <c r="H42" s="148"/>
    </row>
    <row r="43" spans="1:8" s="89" customFormat="1" ht="18" customHeight="1">
      <c r="A43" s="245" t="s">
        <v>255</v>
      </c>
      <c r="B43" s="143"/>
      <c r="C43" s="144"/>
      <c r="D43" s="142"/>
      <c r="E43" s="295"/>
      <c r="F43" s="143"/>
      <c r="G43" s="250" t="e">
        <f>G45</f>
        <v>#VALUE!</v>
      </c>
      <c r="H43" s="240" t="e">
        <f>G43/$G$50</f>
        <v>#VALUE!</v>
      </c>
    </row>
    <row r="44" spans="1:8" ht="5.0999999999999996" customHeight="1">
      <c r="A44" s="246"/>
      <c r="B44" s="134"/>
      <c r="C44" s="128"/>
      <c r="D44" s="122"/>
      <c r="E44" s="293"/>
      <c r="F44" s="122"/>
      <c r="G44" s="122"/>
      <c r="H44" s="148"/>
    </row>
    <row r="45" spans="1:8" s="89" customFormat="1" ht="18" customHeight="1">
      <c r="A45" s="119" t="s">
        <v>71</v>
      </c>
      <c r="B45" s="120"/>
      <c r="C45" s="121"/>
      <c r="D45" s="119"/>
      <c r="E45" s="296"/>
      <c r="F45" s="120"/>
      <c r="G45" s="138" t="e">
        <f>SUM(G46:G48)</f>
        <v>#VALUE!</v>
      </c>
      <c r="H45" s="253" t="e">
        <f>SUM(H46:H48)</f>
        <v>#VALUE!</v>
      </c>
    </row>
    <row r="46" spans="1:8" s="90" customFormat="1">
      <c r="A46" s="172" t="s">
        <v>179</v>
      </c>
      <c r="B46" s="173" t="str">
        <f>Custos!B49</f>
        <v>Veículo tipo pick-up 4X4</v>
      </c>
      <c r="C46" s="174" t="e">
        <f>'Produto Consolidado'!C46</f>
        <v>#VALUE!</v>
      </c>
      <c r="D46" s="212" t="str">
        <f>'P1'!D46</f>
        <v>R$/dia</v>
      </c>
      <c r="E46" s="407">
        <v>2</v>
      </c>
      <c r="F46" s="169" t="e">
        <f>ROUND(C46*E46,2)</f>
        <v>#VALUE!</v>
      </c>
      <c r="G46" s="169" t="e">
        <f>ROUND((F46*K!$G$25),2)</f>
        <v>#VALUE!</v>
      </c>
      <c r="H46" s="176" t="e">
        <f>G46/$G$50</f>
        <v>#VALUE!</v>
      </c>
    </row>
    <row r="47" spans="1:8" s="90" customFormat="1" ht="16.149999999999999" customHeight="1">
      <c r="A47" s="172" t="s">
        <v>182</v>
      </c>
      <c r="B47" s="173" t="str">
        <f>Custos!B50</f>
        <v>Refeições</v>
      </c>
      <c r="C47" s="174" t="str">
        <f>'P1'!C47</f>
        <v>preencher</v>
      </c>
      <c r="D47" s="212" t="str">
        <f>'P1'!D47</f>
        <v>unidade</v>
      </c>
      <c r="E47" s="407">
        <v>8</v>
      </c>
      <c r="F47" s="169" t="e">
        <f>ROUND(C47*E47,2)</f>
        <v>#VALUE!</v>
      </c>
      <c r="G47" s="169" t="e">
        <f>ROUND((F47*K!$G$25),2)</f>
        <v>#VALUE!</v>
      </c>
      <c r="H47" s="176" t="e">
        <f>G47/$G$50</f>
        <v>#VALUE!</v>
      </c>
    </row>
    <row r="48" spans="1:8" s="90" customFormat="1" ht="16.149999999999999" customHeight="1">
      <c r="A48" s="172" t="s">
        <v>184</v>
      </c>
      <c r="B48" s="173" t="str">
        <f>Custos!B51</f>
        <v>Diárias</v>
      </c>
      <c r="C48" s="174" t="str">
        <f>'P1'!C48</f>
        <v>preencher</v>
      </c>
      <c r="D48" s="212" t="str">
        <f>'P1'!D48</f>
        <v>unidade</v>
      </c>
      <c r="E48" s="407">
        <v>6</v>
      </c>
      <c r="F48" s="169" t="e">
        <f>ROUND(C48*E48,2)</f>
        <v>#VALUE!</v>
      </c>
      <c r="G48" s="169" t="e">
        <f>ROUND((F48*K!$G$25),2)</f>
        <v>#VALUE!</v>
      </c>
      <c r="H48" s="176" t="e">
        <f>G48/$G$50</f>
        <v>#VALUE!</v>
      </c>
    </row>
    <row r="49" spans="1:9" ht="6" customHeight="1">
      <c r="A49" s="117"/>
      <c r="B49" s="135"/>
      <c r="C49" s="136"/>
      <c r="D49" s="146"/>
      <c r="E49" s="126"/>
      <c r="F49" s="126"/>
      <c r="G49" s="137"/>
      <c r="H49" s="150"/>
    </row>
    <row r="50" spans="1:9" ht="18" customHeight="1">
      <c r="A50" s="464" t="s">
        <v>256</v>
      </c>
      <c r="B50" s="464"/>
      <c r="C50" s="247"/>
      <c r="D50" s="248"/>
      <c r="E50" s="249"/>
      <c r="F50" s="247" t="s">
        <v>237</v>
      </c>
      <c r="G50" s="247" t="e">
        <f>ROUND((G7+G16+G26+G43),2)</f>
        <v>#VALUE!</v>
      </c>
      <c r="H50" s="252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0"/>
    </row>
    <row r="52" spans="1:9" ht="20.100000000000001" customHeight="1">
      <c r="A52" s="465" t="s">
        <v>286</v>
      </c>
      <c r="B52" s="465"/>
      <c r="C52" s="465"/>
      <c r="D52" s="465"/>
      <c r="E52" s="465"/>
      <c r="F52" s="465"/>
      <c r="G52" s="465"/>
      <c r="H52" s="465"/>
    </row>
    <row r="53" spans="1:9" ht="24" customHeight="1">
      <c r="A53" s="465" t="s">
        <v>287</v>
      </c>
      <c r="B53" s="465"/>
      <c r="C53" s="465"/>
      <c r="D53" s="465"/>
      <c r="E53" s="465"/>
      <c r="F53" s="465"/>
      <c r="G53" s="465"/>
      <c r="H53" s="465"/>
    </row>
    <row r="54" spans="1:9" ht="13.15" customHeight="1">
      <c r="A54" s="465" t="s">
        <v>288</v>
      </c>
      <c r="B54" s="465"/>
      <c r="C54" s="465"/>
      <c r="D54" s="465"/>
      <c r="E54" s="465"/>
      <c r="F54" s="465"/>
      <c r="G54" s="465"/>
      <c r="H54" s="465"/>
    </row>
    <row r="55" spans="1:9" ht="13.15" customHeight="1">
      <c r="A55" s="118"/>
      <c r="B55" s="461"/>
      <c r="C55" s="461"/>
      <c r="D55" s="461"/>
      <c r="E55" s="461"/>
      <c r="F55" s="461"/>
      <c r="G55" s="461"/>
      <c r="H55" s="461"/>
    </row>
    <row r="56" spans="1:9" ht="13.15" customHeight="1">
      <c r="A56" s="118"/>
      <c r="B56" s="225"/>
      <c r="C56" s="225"/>
      <c r="D56" s="225"/>
      <c r="E56" s="225"/>
      <c r="F56" s="225"/>
      <c r="G56" s="225"/>
      <c r="H56" s="225"/>
    </row>
    <row r="57" spans="1:9" ht="13.15" customHeight="1">
      <c r="A57" s="459"/>
      <c r="B57" s="459"/>
      <c r="C57" s="459"/>
      <c r="D57" s="459"/>
      <c r="E57" s="459"/>
      <c r="F57" s="459"/>
      <c r="G57" s="225"/>
      <c r="H57" s="225"/>
    </row>
    <row r="58" spans="1:9" ht="13.15" customHeight="1">
      <c r="A58" s="460"/>
      <c r="B58" s="460"/>
      <c r="C58" s="460"/>
      <c r="D58" s="460"/>
      <c r="E58" s="460"/>
      <c r="F58" s="460"/>
      <c r="G58" s="225"/>
      <c r="H58" s="225"/>
    </row>
    <row r="59" spans="1:9" ht="13.15" customHeight="1">
      <c r="A59" s="460"/>
      <c r="B59" s="460"/>
      <c r="C59" s="460"/>
      <c r="D59" s="460"/>
      <c r="E59" s="460"/>
      <c r="F59" s="460"/>
      <c r="G59" s="225"/>
      <c r="H59" s="225"/>
    </row>
    <row r="60" spans="1:9">
      <c r="A60" s="331"/>
      <c r="B60" s="97"/>
      <c r="D60" s="97"/>
      <c r="E60" s="97"/>
      <c r="I60"/>
    </row>
    <row r="61" spans="1:9" ht="15" customHeight="1">
      <c r="A61" s="459"/>
      <c r="B61" s="459"/>
      <c r="C61" s="459"/>
      <c r="D61" s="459"/>
      <c r="E61" s="459"/>
      <c r="F61" s="459"/>
      <c r="G61" s="271"/>
      <c r="H61" s="258"/>
      <c r="I61"/>
    </row>
    <row r="62" spans="1:9" ht="15" customHeight="1">
      <c r="A62" s="460"/>
      <c r="B62" s="460"/>
      <c r="C62" s="460"/>
      <c r="D62" s="460"/>
      <c r="E62" s="460"/>
      <c r="F62" s="460"/>
      <c r="G62" s="257"/>
      <c r="H62" s="258"/>
    </row>
    <row r="63" spans="1:9" ht="15" customHeight="1">
      <c r="A63" s="460"/>
      <c r="B63" s="460"/>
      <c r="C63" s="460"/>
      <c r="D63" s="460"/>
      <c r="E63" s="460"/>
      <c r="F63" s="460"/>
      <c r="G63" s="126"/>
      <c r="H63" s="259"/>
      <c r="I63" s="89"/>
    </row>
  </sheetData>
  <sheetProtection algorithmName="SHA-512" hashValue="9NQ73+HRClugxfBtmUwgPDdr16B0FdSCU7pL3b7B21TTce6vlizlWABMWhIGTeWvRu3RBkVpqj/IiJonxSvDww==" saltValue="Ot/SdSfB4miGF15+FHwlKQ==" spinCount="100000" sheet="1" objects="1" scenarios="1"/>
  <mergeCells count="19">
    <mergeCell ref="A54:H54"/>
    <mergeCell ref="C62:F62"/>
    <mergeCell ref="C63:F63"/>
    <mergeCell ref="C59:F59"/>
    <mergeCell ref="C61:F61"/>
    <mergeCell ref="A59:B59"/>
    <mergeCell ref="A61:B61"/>
    <mergeCell ref="A62:B62"/>
    <mergeCell ref="A63:B63"/>
    <mergeCell ref="B1:H1"/>
    <mergeCell ref="C6:D6"/>
    <mergeCell ref="A50:B50"/>
    <mergeCell ref="A52:H52"/>
    <mergeCell ref="A53:H53"/>
    <mergeCell ref="B55:H55"/>
    <mergeCell ref="C57:F57"/>
    <mergeCell ref="C58:F58"/>
    <mergeCell ref="A57:B57"/>
    <mergeCell ref="A58:B58"/>
  </mergeCells>
  <conditionalFormatting sqref="A52:H54">
    <cfRule type="containsText" dxfId="3" priority="1" operator="containsText" text="Inserir">
      <formula>NOT(ISERROR(SEARCH("Inserir",A52)))</formula>
    </cfRule>
  </conditionalFormatting>
  <pageMargins left="0.511811024" right="0.511811024" top="0.78740157499999996" bottom="0.78740157499999996" header="0.31496062000000002" footer="0.31496062000000002"/>
  <pageSetup scale="71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Planilha16">
    <tabColor theme="8" tint="-0.249977111117893"/>
    <pageSetUpPr fitToPage="1"/>
  </sheetPr>
  <dimension ref="A1:J63"/>
  <sheetViews>
    <sheetView showGridLines="0" view="pageBreakPreview" topLeftCell="A2" zoomScale="60" zoomScaleNormal="100" workbookViewId="0">
      <selection activeCell="E10" sqref="E10:E48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2" t="s">
        <v>169</v>
      </c>
      <c r="C1" s="462"/>
      <c r="D1" s="462"/>
      <c r="E1" s="462"/>
      <c r="F1" s="462"/>
      <c r="G1" s="462"/>
      <c r="H1" s="462"/>
    </row>
    <row r="2" spans="1:10" s="89" customFormat="1" ht="15" customHeight="1">
      <c r="A2" s="77" t="s">
        <v>263</v>
      </c>
      <c r="C2" s="394" t="s">
        <v>244</v>
      </c>
      <c r="D2" s="145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5"/>
      <c r="H3" s="98"/>
    </row>
    <row r="4" spans="1:10" s="89" customFormat="1" ht="15" customHeight="1">
      <c r="A4" s="77" t="s">
        <v>135</v>
      </c>
      <c r="C4" s="80" t="str">
        <f>Capa!B30</f>
        <v>Resplendor/MG</v>
      </c>
      <c r="D4" s="145"/>
      <c r="G4" s="87"/>
      <c r="H4" s="86"/>
    </row>
    <row r="5" spans="1:10" ht="6" customHeight="1">
      <c r="A5" s="123"/>
      <c r="B5" s="124"/>
      <c r="C5" s="125"/>
      <c r="D5" s="146"/>
      <c r="E5" s="127"/>
      <c r="F5" s="126"/>
      <c r="G5" s="126"/>
      <c r="H5" s="149"/>
    </row>
    <row r="6" spans="1:10" s="100" customFormat="1" ht="47.45" customHeight="1">
      <c r="A6" s="232" t="s">
        <v>248</v>
      </c>
      <c r="B6" s="233" t="s">
        <v>249</v>
      </c>
      <c r="C6" s="463" t="s">
        <v>250</v>
      </c>
      <c r="D6" s="463"/>
      <c r="E6" s="234" t="s">
        <v>251</v>
      </c>
      <c r="F6" s="235" t="s">
        <v>252</v>
      </c>
      <c r="G6" s="235" t="s">
        <v>253</v>
      </c>
      <c r="H6" s="235" t="s">
        <v>254</v>
      </c>
    </row>
    <row r="7" spans="1:10" s="89" customFormat="1" ht="18" customHeight="1">
      <c r="A7" s="236">
        <v>1</v>
      </c>
      <c r="B7" s="237"/>
      <c r="C7" s="238"/>
      <c r="D7" s="236"/>
      <c r="E7" s="237"/>
      <c r="F7" s="237"/>
      <c r="G7" s="239" t="e">
        <f>G9</f>
        <v>#VALUE!</v>
      </c>
      <c r="H7" s="240" t="e">
        <f>G7/$G$50</f>
        <v>#VALUE!</v>
      </c>
    </row>
    <row r="8" spans="1:10" ht="6" customHeight="1">
      <c r="A8" s="123"/>
      <c r="B8" s="124"/>
      <c r="C8" s="125"/>
      <c r="D8" s="146"/>
      <c r="E8" s="127"/>
      <c r="F8" s="126"/>
      <c r="G8" s="126"/>
      <c r="H8" s="149"/>
    </row>
    <row r="9" spans="1:10" s="89" customFormat="1" ht="18" customHeight="1">
      <c r="A9" s="139" t="s">
        <v>28</v>
      </c>
      <c r="B9" s="140"/>
      <c r="C9" s="141"/>
      <c r="D9" s="139"/>
      <c r="E9" s="140"/>
      <c r="F9" s="140"/>
      <c r="G9" s="251" t="e">
        <f>SUM(G10:G14)</f>
        <v>#VALUE!</v>
      </c>
      <c r="H9" s="255" t="e">
        <f>SUM(H10:H14)</f>
        <v>#VALUE!</v>
      </c>
    </row>
    <row r="10" spans="1:10" s="90" customFormat="1" ht="16.149999999999999" customHeight="1">
      <c r="A10" s="172" t="s">
        <v>179</v>
      </c>
      <c r="B10" s="168" t="str">
        <f>Custos!B13</f>
        <v>Engenheiro Coordenador</v>
      </c>
      <c r="C10" s="169" t="e">
        <f>Custos!G13</f>
        <v>#VALUE!</v>
      </c>
      <c r="D10" s="167" t="s">
        <v>181</v>
      </c>
      <c r="E10" s="268">
        <v>10</v>
      </c>
      <c r="F10" s="169" t="e">
        <f>ROUND(C10*E10,2)</f>
        <v>#VALUE!</v>
      </c>
      <c r="G10" s="169" t="e">
        <f>ROUND((F10*K!$G$22),2)</f>
        <v>#VALUE!</v>
      </c>
      <c r="H10" s="176" t="e">
        <f>G10/$G$50</f>
        <v>#VALUE!</v>
      </c>
      <c r="J10" s="91"/>
    </row>
    <row r="11" spans="1:10" s="90" customFormat="1" ht="16.149999999999999" customHeight="1">
      <c r="A11" s="172" t="s">
        <v>182</v>
      </c>
      <c r="B11" s="168" t="str">
        <f>Custos!B14</f>
        <v>Engenheiro de Projetos Pleno</v>
      </c>
      <c r="C11" s="171" t="e">
        <f>Custos!G14</f>
        <v>#VALUE!</v>
      </c>
      <c r="D11" s="170" t="s">
        <v>181</v>
      </c>
      <c r="E11" s="268">
        <v>10</v>
      </c>
      <c r="F11" s="169" t="e">
        <f>ROUND(C11*E11,2)</f>
        <v>#VALUE!</v>
      </c>
      <c r="G11" s="169" t="e">
        <f>ROUND((F11*K!$G$22),2)</f>
        <v>#VALUE!</v>
      </c>
      <c r="H11" s="176" t="e">
        <f>G11/$G$50</f>
        <v>#VALUE!</v>
      </c>
      <c r="J11" s="91"/>
    </row>
    <row r="12" spans="1:10" s="90" customFormat="1" ht="16.149999999999999" customHeight="1">
      <c r="A12" s="172" t="s">
        <v>184</v>
      </c>
      <c r="B12" s="168" t="str">
        <f>Custos!B15</f>
        <v>Engenheiro de Projetos Júnior</v>
      </c>
      <c r="C12" s="171" t="e">
        <f>Custos!G15</f>
        <v>#VALUE!</v>
      </c>
      <c r="D12" s="170" t="s">
        <v>181</v>
      </c>
      <c r="E12" s="268">
        <v>30</v>
      </c>
      <c r="F12" s="169" t="e">
        <f>ROUND(C12*E12,2)</f>
        <v>#VALUE!</v>
      </c>
      <c r="G12" s="169" t="e">
        <f>ROUND((F12*K!$G$22),2)</f>
        <v>#VALUE!</v>
      </c>
      <c r="H12" s="176" t="e">
        <f>G12/$G$50</f>
        <v>#VALUE!</v>
      </c>
      <c r="J12" s="91"/>
    </row>
    <row r="13" spans="1:10" s="90" customFormat="1" ht="16.149999999999999" customHeight="1">
      <c r="A13" s="172" t="s">
        <v>186</v>
      </c>
      <c r="B13" s="168" t="str">
        <f>Custos!B16</f>
        <v>Técnico cadista</v>
      </c>
      <c r="C13" s="171" t="e">
        <f>Custos!G16</f>
        <v>#VALUE!</v>
      </c>
      <c r="D13" s="170" t="s">
        <v>181</v>
      </c>
      <c r="E13" s="268">
        <v>100</v>
      </c>
      <c r="F13" s="169" t="e">
        <f>ROUND(C13*E13,2)</f>
        <v>#VALUE!</v>
      </c>
      <c r="G13" s="169" t="e">
        <f>ROUND((F13*K!$G$22),2)</f>
        <v>#VALUE!</v>
      </c>
      <c r="H13" s="176" t="e">
        <f>G13/$G$50</f>
        <v>#VALUE!</v>
      </c>
      <c r="J13" s="91"/>
    </row>
    <row r="14" spans="1:10" s="90" customFormat="1" ht="16.149999999999999" customHeight="1">
      <c r="A14" s="172" t="s">
        <v>188</v>
      </c>
      <c r="B14" s="168" t="str">
        <f>Custos!B17</f>
        <v>Auxiliar Administrativo</v>
      </c>
      <c r="C14" s="171" t="e">
        <f>Custos!G17</f>
        <v>#VALUE!</v>
      </c>
      <c r="D14" s="170" t="s">
        <v>181</v>
      </c>
      <c r="E14" s="268">
        <v>100</v>
      </c>
      <c r="F14" s="169" t="e">
        <f>ROUND(C14*E14,2)</f>
        <v>#VALUE!</v>
      </c>
      <c r="G14" s="169" t="e">
        <f>ROUND((F14*K!$G$22),2)</f>
        <v>#VALUE!</v>
      </c>
      <c r="H14" s="176" t="e">
        <f>G14/$G$50</f>
        <v>#VALUE!</v>
      </c>
      <c r="J14" s="91"/>
    </row>
    <row r="15" spans="1:10" ht="6" customHeight="1">
      <c r="A15" s="123"/>
      <c r="B15" s="124"/>
      <c r="C15" s="125"/>
      <c r="D15" s="146"/>
      <c r="E15" s="289"/>
      <c r="F15" s="126"/>
      <c r="G15" s="126"/>
      <c r="H15" s="149"/>
    </row>
    <row r="16" spans="1:10" s="89" customFormat="1" ht="18" customHeight="1">
      <c r="A16" s="236">
        <v>2</v>
      </c>
      <c r="B16" s="237"/>
      <c r="C16" s="238"/>
      <c r="D16" s="236"/>
      <c r="E16" s="291"/>
      <c r="F16" s="237"/>
      <c r="G16" s="239" t="e">
        <f>G18</f>
        <v>#VALUE!</v>
      </c>
      <c r="H16" s="240" t="e">
        <f>G16/$G$50</f>
        <v>#VALUE!</v>
      </c>
    </row>
    <row r="17" spans="1:10" ht="5.0999999999999996" customHeight="1">
      <c r="A17" s="129"/>
      <c r="B17" s="131"/>
      <c r="C17" s="128"/>
      <c r="D17" s="122"/>
      <c r="E17" s="293"/>
      <c r="F17" s="122"/>
      <c r="G17" s="122"/>
      <c r="H17" s="148"/>
    </row>
    <row r="18" spans="1:10" s="89" customFormat="1" ht="18" customHeight="1">
      <c r="A18" s="241" t="s">
        <v>46</v>
      </c>
      <c r="B18" s="242"/>
      <c r="C18" s="243"/>
      <c r="D18" s="241"/>
      <c r="E18" s="294"/>
      <c r="F18" s="243"/>
      <c r="G18" s="244" t="e">
        <f>SUM(G19:G24)</f>
        <v>#VALUE!</v>
      </c>
      <c r="H18" s="256" t="e">
        <f>SUM(H19:H24)</f>
        <v>#VALUE!</v>
      </c>
    </row>
    <row r="19" spans="1:10" s="90" customFormat="1" ht="16.149999999999999" customHeight="1">
      <c r="A19" s="172" t="s">
        <v>179</v>
      </c>
      <c r="B19" s="168" t="str">
        <f>Custos!B22</f>
        <v>Advogado sênior</v>
      </c>
      <c r="C19" s="169" t="e">
        <f>Custos!G22</f>
        <v>#VALUE!</v>
      </c>
      <c r="D19" s="167" t="s">
        <v>181</v>
      </c>
      <c r="E19" s="268">
        <v>10</v>
      </c>
      <c r="F19" s="169" t="e">
        <f t="shared" ref="F19:F24" si="0">ROUND(C19*E19,2)</f>
        <v>#VALUE!</v>
      </c>
      <c r="G19" s="169" t="e">
        <f>ROUND((F19*K!$G$23),2)</f>
        <v>#VALUE!</v>
      </c>
      <c r="H19" s="175" t="e">
        <f t="shared" ref="H19:H24" si="1">G19/$G$50</f>
        <v>#VALUE!</v>
      </c>
    </row>
    <row r="20" spans="1:10" s="90" customFormat="1" ht="16.149999999999999" customHeight="1">
      <c r="A20" s="172" t="s">
        <v>182</v>
      </c>
      <c r="B20" s="168" t="str">
        <f>Custos!B23</f>
        <v>Engenheiro de Projetos (Elétrico)</v>
      </c>
      <c r="C20" s="169" t="e">
        <f>Custos!G23</f>
        <v>#VALUE!</v>
      </c>
      <c r="D20" s="167" t="s">
        <v>181</v>
      </c>
      <c r="E20" s="268">
        <v>10</v>
      </c>
      <c r="F20" s="169" t="e">
        <f t="shared" si="0"/>
        <v>#VALUE!</v>
      </c>
      <c r="G20" s="169" t="e">
        <f>ROUND((F20*K!$G$23),2)</f>
        <v>#VALUE!</v>
      </c>
      <c r="H20" s="175" t="e">
        <f t="shared" si="1"/>
        <v>#VALUE!</v>
      </c>
    </row>
    <row r="21" spans="1:10" s="90" customFormat="1" ht="16.149999999999999" customHeight="1">
      <c r="A21" s="172" t="s">
        <v>184</v>
      </c>
      <c r="B21" s="168" t="str">
        <f>Custos!B24</f>
        <v>Engenheiro de Projeto (Calculista)</v>
      </c>
      <c r="C21" s="169" t="e">
        <f>Custos!G24</f>
        <v>#VALUE!</v>
      </c>
      <c r="D21" s="167" t="s">
        <v>181</v>
      </c>
      <c r="E21" s="268">
        <v>10</v>
      </c>
      <c r="F21" s="169" t="e">
        <f t="shared" si="0"/>
        <v>#VALUE!</v>
      </c>
      <c r="G21" s="169" t="e">
        <f>ROUND((F21*K!$G$23),2)</f>
        <v>#VALUE!</v>
      </c>
      <c r="H21" s="175" t="e">
        <f t="shared" si="1"/>
        <v>#VALUE!</v>
      </c>
    </row>
    <row r="22" spans="1:10" s="90" customFormat="1" ht="16.149999999999999" customHeight="1">
      <c r="A22" s="172" t="s">
        <v>186</v>
      </c>
      <c r="B22" s="168" t="str">
        <f>Custos!B25</f>
        <v>Engenheiro de Projetos (Mecânico)</v>
      </c>
      <c r="C22" s="169" t="e">
        <f>Custos!G25</f>
        <v>#VALUE!</v>
      </c>
      <c r="D22" s="167" t="s">
        <v>181</v>
      </c>
      <c r="E22" s="268">
        <v>10</v>
      </c>
      <c r="F22" s="169" t="e">
        <f t="shared" si="0"/>
        <v>#VALUE!</v>
      </c>
      <c r="G22" s="169" t="e">
        <f>ROUND((F22*K!$G$23),2)</f>
        <v>#VALUE!</v>
      </c>
      <c r="H22" s="175" t="e">
        <f t="shared" si="1"/>
        <v>#VALUE!</v>
      </c>
    </row>
    <row r="23" spans="1:10" s="90" customFormat="1" ht="16.149999999999999" customHeight="1">
      <c r="A23" s="172" t="s">
        <v>188</v>
      </c>
      <c r="B23" s="168" t="str">
        <f>Custos!B26</f>
        <v>Engenheiro ambiental</v>
      </c>
      <c r="C23" s="169" t="e">
        <f>Custos!G26</f>
        <v>#VALUE!</v>
      </c>
      <c r="D23" s="167" t="s">
        <v>181</v>
      </c>
      <c r="E23" s="268">
        <v>0</v>
      </c>
      <c r="F23" s="169" t="e">
        <f t="shared" si="0"/>
        <v>#VALUE!</v>
      </c>
      <c r="G23" s="169" t="e">
        <f>ROUND((F23*K!$G$23),2)</f>
        <v>#VALUE!</v>
      </c>
      <c r="H23" s="175" t="e">
        <f t="shared" si="1"/>
        <v>#VALUE!</v>
      </c>
    </row>
    <row r="24" spans="1:10" s="90" customFormat="1" ht="16.149999999999999" customHeight="1">
      <c r="A24" s="172" t="s">
        <v>197</v>
      </c>
      <c r="B24" s="168" t="str">
        <f>Custos!B27</f>
        <v>Técnico em geoprocessamento</v>
      </c>
      <c r="C24" s="169" t="e">
        <f>Custos!G27</f>
        <v>#VALUE!</v>
      </c>
      <c r="D24" s="167" t="s">
        <v>181</v>
      </c>
      <c r="E24" s="268">
        <v>0</v>
      </c>
      <c r="F24" s="169" t="e">
        <f t="shared" si="0"/>
        <v>#VALUE!</v>
      </c>
      <c r="G24" s="169" t="e">
        <f>ROUND((F24*K!$G$23),2)</f>
        <v>#VALUE!</v>
      </c>
      <c r="H24" s="175" t="e">
        <f t="shared" si="1"/>
        <v>#VALUE!</v>
      </c>
      <c r="J24" s="91"/>
    </row>
    <row r="25" spans="1:10" ht="6" customHeight="1">
      <c r="A25" s="123"/>
      <c r="B25" s="124"/>
      <c r="C25" s="125"/>
      <c r="D25" s="146"/>
      <c r="E25" s="289"/>
      <c r="F25" s="126"/>
      <c r="G25" s="126"/>
      <c r="H25" s="149"/>
    </row>
    <row r="26" spans="1:10" s="89" customFormat="1" ht="18" customHeight="1">
      <c r="A26" s="245">
        <v>3</v>
      </c>
      <c r="B26" s="143"/>
      <c r="C26" s="144"/>
      <c r="D26" s="142"/>
      <c r="E26" s="295"/>
      <c r="F26" s="143"/>
      <c r="G26" s="250" t="e">
        <f>G28+G33+G39</f>
        <v>#VALUE!</v>
      </c>
      <c r="H26" s="240" t="e">
        <f>G26/$G$50</f>
        <v>#VALUE!</v>
      </c>
    </row>
    <row r="27" spans="1:10" ht="5.0999999999999996" customHeight="1">
      <c r="A27" s="129"/>
      <c r="B27" s="131"/>
      <c r="C27" s="128"/>
      <c r="D27" s="122"/>
      <c r="E27" s="293"/>
      <c r="F27" s="122"/>
      <c r="G27" s="122"/>
      <c r="H27" s="148"/>
    </row>
    <row r="28" spans="1:10" s="89" customFormat="1" ht="18" customHeight="1">
      <c r="A28" s="139" t="s">
        <v>58</v>
      </c>
      <c r="B28" s="140"/>
      <c r="C28" s="141"/>
      <c r="D28" s="139"/>
      <c r="E28" s="292"/>
      <c r="F28" s="140"/>
      <c r="G28" s="251" t="e">
        <f>SUM(G29:G31)</f>
        <v>#VALUE!</v>
      </c>
      <c r="H28" s="255" t="e">
        <f>SUM(H29:H31)</f>
        <v>#VALUE!</v>
      </c>
    </row>
    <row r="29" spans="1:10" s="90" customFormat="1">
      <c r="A29" s="172" t="s">
        <v>179</v>
      </c>
      <c r="B29" s="264" t="str">
        <f>Custos!B38</f>
        <v>Mobilização e desmobilização de equipe de topografia</v>
      </c>
      <c r="C29" s="174" t="str">
        <f>Custos!G38</f>
        <v>preencher</v>
      </c>
      <c r="D29" s="212" t="str">
        <f>Custos!E38</f>
        <v>km</v>
      </c>
      <c r="E29" s="407">
        <v>0</v>
      </c>
      <c r="F29" s="169" t="e">
        <f>ROUND(C29*E29,2)</f>
        <v>#VALUE!</v>
      </c>
      <c r="G29" s="169" t="e">
        <f>ROUND((F29*K!$G$24),2)</f>
        <v>#VALUE!</v>
      </c>
      <c r="H29" s="176" t="e">
        <f>G29/$G$50</f>
        <v>#VALUE!</v>
      </c>
    </row>
    <row r="30" spans="1:10" s="90" customFormat="1">
      <c r="A30" s="172" t="s">
        <v>182</v>
      </c>
      <c r="B30" s="264" t="str">
        <f>Custos!B39</f>
        <v>Equipe de topografia de campo</v>
      </c>
      <c r="C30" s="174" t="str">
        <f>Custos!G39</f>
        <v>preencher</v>
      </c>
      <c r="D30" s="212" t="str">
        <f>Custos!E39</f>
        <v>mês</v>
      </c>
      <c r="E30" s="407">
        <v>0</v>
      </c>
      <c r="F30" s="169" t="e">
        <f>ROUND(C30*E30,2)</f>
        <v>#VALUE!</v>
      </c>
      <c r="G30" s="169" t="e">
        <f>ROUND((F30*K!$G$24),2)</f>
        <v>#VALUE!</v>
      </c>
      <c r="H30" s="176" t="e">
        <f>G30/$G$50</f>
        <v>#VALUE!</v>
      </c>
    </row>
    <row r="31" spans="1:10" s="90" customFormat="1">
      <c r="A31" s="172" t="s">
        <v>184</v>
      </c>
      <c r="B31" s="264" t="str">
        <f>Custos!B40</f>
        <v>Equipe de topografia de escritório</v>
      </c>
      <c r="C31" s="174" t="str">
        <f>Custos!G40</f>
        <v>preencher</v>
      </c>
      <c r="D31" s="212" t="str">
        <f>Custos!E40</f>
        <v>mês</v>
      </c>
      <c r="E31" s="407">
        <v>0</v>
      </c>
      <c r="F31" s="169" t="e">
        <f>ROUND(C31*E31,2)</f>
        <v>#VALUE!</v>
      </c>
      <c r="G31" s="169" t="e">
        <f>ROUND((F31*K!$G$24),2)</f>
        <v>#VALUE!</v>
      </c>
      <c r="H31" s="176" t="e">
        <f>G31/$G$50</f>
        <v>#VALUE!</v>
      </c>
    </row>
    <row r="32" spans="1:10" ht="10.5" customHeight="1">
      <c r="A32" s="129"/>
      <c r="B32" s="131"/>
      <c r="C32" s="128"/>
      <c r="D32" s="212"/>
      <c r="E32" s="293"/>
      <c r="F32" s="122"/>
      <c r="G32" s="122"/>
      <c r="H32" s="148"/>
    </row>
    <row r="33" spans="1:8" s="89" customFormat="1" ht="18" customHeight="1">
      <c r="A33" s="119" t="s">
        <v>59</v>
      </c>
      <c r="B33" s="132"/>
      <c r="C33" s="121"/>
      <c r="D33" s="119"/>
      <c r="E33" s="296"/>
      <c r="F33" s="120"/>
      <c r="G33" s="133" t="e">
        <f>SUM(G35:G36)</f>
        <v>#VALUE!</v>
      </c>
      <c r="H33" s="254" t="e">
        <f>SUM(H35:H36)</f>
        <v>#VALUE!</v>
      </c>
    </row>
    <row r="34" spans="1:8" s="90" customFormat="1">
      <c r="A34" s="172" t="s">
        <v>179</v>
      </c>
      <c r="B34" s="264" t="str">
        <f>Custos!B32</f>
        <v>Sondagem a percussao - mobilizacao e desmobilizacao</v>
      </c>
      <c r="C34" s="174" t="str">
        <f>Custos!G32</f>
        <v>preencher</v>
      </c>
      <c r="D34" s="212" t="str">
        <f>Custos!E32</f>
        <v>unidade</v>
      </c>
      <c r="E34" s="407">
        <v>0</v>
      </c>
      <c r="F34" s="169" t="e">
        <f>ROUND(C34*E34,2)</f>
        <v>#VALUE!</v>
      </c>
      <c r="G34" s="169" t="e">
        <f>ROUND((F34*K!$G$24),2)</f>
        <v>#VALUE!</v>
      </c>
      <c r="H34" s="176" t="e">
        <f>G34/$G$50</f>
        <v>#VALUE!</v>
      </c>
    </row>
    <row r="35" spans="1:8" s="90" customFormat="1" ht="26.45" customHeight="1">
      <c r="A35" s="172" t="s">
        <v>182</v>
      </c>
      <c r="B35" s="277" t="str">
        <f>Custos!B33</f>
        <v>Sondagem a percussao - adicional de mobilizacao e desmobilizacao</v>
      </c>
      <c r="C35" s="174" t="str">
        <f>Custos!G33</f>
        <v>preencher</v>
      </c>
      <c r="D35" s="265" t="str">
        <f>Custos!E33</f>
        <v>km</v>
      </c>
      <c r="E35" s="407">
        <v>0</v>
      </c>
      <c r="F35" s="169" t="e">
        <f>ROUND(C35*E35,2)</f>
        <v>#VALUE!</v>
      </c>
      <c r="G35" s="169" t="e">
        <f>ROUND((F35*K!$G$24),2)</f>
        <v>#VALUE!</v>
      </c>
      <c r="H35" s="175" t="e">
        <f>G35/$G$50</f>
        <v>#VALUE!</v>
      </c>
    </row>
    <row r="36" spans="1:8" s="90" customFormat="1">
      <c r="A36" s="172" t="s">
        <v>184</v>
      </c>
      <c r="B36" s="264" t="str">
        <f>Custos!B34</f>
        <v>Sondagem a percussao - instalacao por furo</v>
      </c>
      <c r="C36" s="174" t="str">
        <f>Custos!G34</f>
        <v>preencher</v>
      </c>
      <c r="D36" s="212" t="str">
        <f>Custos!E34</f>
        <v>unidade</v>
      </c>
      <c r="E36" s="407">
        <v>0</v>
      </c>
      <c r="F36" s="169" t="e">
        <f>ROUND(C36*E36,2)</f>
        <v>#VALUE!</v>
      </c>
      <c r="G36" s="169" t="e">
        <f>ROUND((F36*K!$G$24),2)</f>
        <v>#VALUE!</v>
      </c>
      <c r="H36" s="176" t="e">
        <f>G36/$G$50</f>
        <v>#VALUE!</v>
      </c>
    </row>
    <row r="37" spans="1:8" s="90" customFormat="1" ht="26.45" customHeight="1">
      <c r="A37" s="172" t="s">
        <v>186</v>
      </c>
      <c r="B37" s="277" t="str">
        <f>Custos!B35</f>
        <v>Sondagem a percussao ø2.1/2" - perfuracao e retirada de amostras</v>
      </c>
      <c r="C37" s="174" t="str">
        <f>Custos!G35</f>
        <v>preencher</v>
      </c>
      <c r="D37" s="265" t="str">
        <f>Custos!E35</f>
        <v>m</v>
      </c>
      <c r="E37" s="407">
        <v>0</v>
      </c>
      <c r="F37" s="169" t="e">
        <f>ROUND(C37*E37,2)</f>
        <v>#VALUE!</v>
      </c>
      <c r="G37" s="169" t="e">
        <f>ROUND((F37*K!$G$24),2)</f>
        <v>#VALUE!</v>
      </c>
      <c r="H37" s="176" t="e">
        <f>G37/$G$50</f>
        <v>#VALUE!</v>
      </c>
    </row>
    <row r="38" spans="1:8" ht="6" customHeight="1">
      <c r="A38" s="123"/>
      <c r="B38" s="124"/>
      <c r="C38" s="125"/>
      <c r="D38" s="146"/>
      <c r="E38" s="407"/>
      <c r="F38" s="126"/>
      <c r="G38" s="126"/>
      <c r="H38" s="149"/>
    </row>
    <row r="39" spans="1:8" s="89" customFormat="1" ht="18" customHeight="1">
      <c r="A39" s="119" t="s">
        <v>60</v>
      </c>
      <c r="B39" s="132"/>
      <c r="C39" s="121"/>
      <c r="D39" s="119"/>
      <c r="E39" s="296"/>
      <c r="F39" s="120"/>
      <c r="G39" s="133" t="e">
        <f>SUM(G40:G41)</f>
        <v>#VALUE!</v>
      </c>
      <c r="H39" s="254" t="e">
        <f>SUM(H40:H41)</f>
        <v>#VALUE!</v>
      </c>
    </row>
    <row r="40" spans="1:8" s="90" customFormat="1">
      <c r="A40" s="172" t="s">
        <v>179</v>
      </c>
      <c r="B40" s="264" t="str">
        <f>Custos!B43</f>
        <v>Equipe de topografia de campo</v>
      </c>
      <c r="C40" s="174" t="str">
        <f>Custos!G43</f>
        <v>preencher</v>
      </c>
      <c r="D40" s="212" t="str">
        <f>Custos!E43</f>
        <v>mês</v>
      </c>
      <c r="E40" s="407">
        <v>0</v>
      </c>
      <c r="F40" s="169" t="e">
        <f>ROUND(C40*E40,2)</f>
        <v>#VALUE!</v>
      </c>
      <c r="G40" s="169" t="e">
        <f>ROUND((F40*K!$G$24),2)</f>
        <v>#VALUE!</v>
      </c>
      <c r="H40" s="176" t="e">
        <f>G40/$G$50</f>
        <v>#VALUE!</v>
      </c>
    </row>
    <row r="41" spans="1:8" s="90" customFormat="1">
      <c r="A41" s="172" t="s">
        <v>182</v>
      </c>
      <c r="B41" s="264" t="str">
        <f>Custos!B44</f>
        <v>Equipe de topografia de escritório</v>
      </c>
      <c r="C41" s="174" t="str">
        <f>Custos!G44</f>
        <v>preencher</v>
      </c>
      <c r="D41" s="212" t="str">
        <f>Custos!E44</f>
        <v>mês</v>
      </c>
      <c r="E41" s="407">
        <v>0</v>
      </c>
      <c r="F41" s="169" t="e">
        <f>ROUND(C41*E41,2)</f>
        <v>#VALUE!</v>
      </c>
      <c r="G41" s="169" t="e">
        <f>ROUND((F41*K!$G$24),2)</f>
        <v>#VALUE!</v>
      </c>
      <c r="H41" s="176" t="e">
        <f>G41/$G$50</f>
        <v>#VALUE!</v>
      </c>
    </row>
    <row r="42" spans="1:8" ht="5.0999999999999996" customHeight="1">
      <c r="A42" s="172"/>
      <c r="B42" s="134"/>
      <c r="C42" s="128"/>
      <c r="D42" s="167"/>
      <c r="E42" s="293"/>
      <c r="F42" s="122"/>
      <c r="G42" s="122"/>
      <c r="H42" s="148"/>
    </row>
    <row r="43" spans="1:8" s="89" customFormat="1" ht="18" customHeight="1">
      <c r="A43" s="245" t="s">
        <v>255</v>
      </c>
      <c r="B43" s="143"/>
      <c r="C43" s="144"/>
      <c r="D43" s="142"/>
      <c r="E43" s="295"/>
      <c r="F43" s="143"/>
      <c r="G43" s="250" t="e">
        <f>G45</f>
        <v>#VALUE!</v>
      </c>
      <c r="H43" s="240" t="e">
        <f>G43/$G$50</f>
        <v>#VALUE!</v>
      </c>
    </row>
    <row r="44" spans="1:8" ht="5.0999999999999996" customHeight="1">
      <c r="A44" s="246"/>
      <c r="B44" s="134"/>
      <c r="C44" s="128"/>
      <c r="D44" s="122"/>
      <c r="E44" s="293"/>
      <c r="F44" s="122"/>
      <c r="G44" s="122"/>
      <c r="H44" s="148"/>
    </row>
    <row r="45" spans="1:8" s="89" customFormat="1" ht="18" customHeight="1">
      <c r="A45" s="119" t="s">
        <v>71</v>
      </c>
      <c r="B45" s="120"/>
      <c r="C45" s="121"/>
      <c r="D45" s="119"/>
      <c r="E45" s="296"/>
      <c r="F45" s="120"/>
      <c r="G45" s="138" t="e">
        <f>SUM(G46:G48)</f>
        <v>#VALUE!</v>
      </c>
      <c r="H45" s="253" t="e">
        <f>SUM(H46:H48)</f>
        <v>#VALUE!</v>
      </c>
    </row>
    <row r="46" spans="1:8" s="90" customFormat="1">
      <c r="A46" s="172" t="s">
        <v>179</v>
      </c>
      <c r="B46" s="173" t="str">
        <f>Custos!B49</f>
        <v>Veículo tipo pick-up 4X4</v>
      </c>
      <c r="C46" s="174" t="e">
        <f>'Produto Consolidado'!C46</f>
        <v>#VALUE!</v>
      </c>
      <c r="D46" s="212" t="str">
        <f>'P1'!D46</f>
        <v>R$/dia</v>
      </c>
      <c r="E46" s="407">
        <v>2</v>
      </c>
      <c r="F46" s="169" t="e">
        <f>ROUND(C46*E46,2)</f>
        <v>#VALUE!</v>
      </c>
      <c r="G46" s="169" t="e">
        <f>ROUND((F46*K!$G$25),2)</f>
        <v>#VALUE!</v>
      </c>
      <c r="H46" s="176" t="e">
        <f>G46/$G$50</f>
        <v>#VALUE!</v>
      </c>
    </row>
    <row r="47" spans="1:8" s="90" customFormat="1" ht="16.149999999999999" customHeight="1">
      <c r="A47" s="172" t="s">
        <v>182</v>
      </c>
      <c r="B47" s="173" t="str">
        <f>Custos!B50</f>
        <v>Refeições</v>
      </c>
      <c r="C47" s="174" t="str">
        <f>'P1'!C47</f>
        <v>preencher</v>
      </c>
      <c r="D47" s="212" t="str">
        <f>'P1'!D47</f>
        <v>unidade</v>
      </c>
      <c r="E47" s="407">
        <v>6</v>
      </c>
      <c r="F47" s="169" t="e">
        <f>ROUND(C47*E47,2)</f>
        <v>#VALUE!</v>
      </c>
      <c r="G47" s="169" t="e">
        <f>ROUND((F47*K!$G$25),2)</f>
        <v>#VALUE!</v>
      </c>
      <c r="H47" s="176" t="e">
        <f>G47/$G$50</f>
        <v>#VALUE!</v>
      </c>
    </row>
    <row r="48" spans="1:8" s="90" customFormat="1" ht="16.149999999999999" customHeight="1">
      <c r="A48" s="172" t="s">
        <v>184</v>
      </c>
      <c r="B48" s="173" t="str">
        <f>Custos!B51</f>
        <v>Diárias</v>
      </c>
      <c r="C48" s="174" t="str">
        <f>'P1'!C48</f>
        <v>preencher</v>
      </c>
      <c r="D48" s="212" t="str">
        <f>'P1'!D48</f>
        <v>unidade</v>
      </c>
      <c r="E48" s="407">
        <v>3</v>
      </c>
      <c r="F48" s="169" t="e">
        <f>ROUND(C48*E48,2)</f>
        <v>#VALUE!</v>
      </c>
      <c r="G48" s="169" t="e">
        <f>ROUND((F48*K!$G$25),2)</f>
        <v>#VALUE!</v>
      </c>
      <c r="H48" s="176" t="e">
        <f>G48/$G$50</f>
        <v>#VALUE!</v>
      </c>
    </row>
    <row r="49" spans="1:9" ht="6" customHeight="1">
      <c r="A49" s="117"/>
      <c r="B49" s="135"/>
      <c r="C49" s="136"/>
      <c r="D49" s="146"/>
      <c r="E49" s="126"/>
      <c r="F49" s="126"/>
      <c r="G49" s="137"/>
      <c r="H49" s="150"/>
    </row>
    <row r="50" spans="1:9" ht="18" customHeight="1">
      <c r="A50" s="464" t="s">
        <v>256</v>
      </c>
      <c r="B50" s="464"/>
      <c r="C50" s="247"/>
      <c r="D50" s="248"/>
      <c r="E50" s="249"/>
      <c r="F50" s="247" t="s">
        <v>237</v>
      </c>
      <c r="G50" s="247" t="e">
        <f>ROUND((G7+G16+G26+G43),2)</f>
        <v>#VALUE!</v>
      </c>
      <c r="H50" s="252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0"/>
    </row>
    <row r="52" spans="1:9" ht="20.100000000000001" customHeight="1">
      <c r="A52" s="465" t="s">
        <v>286</v>
      </c>
      <c r="B52" s="465"/>
      <c r="C52" s="465"/>
      <c r="D52" s="465"/>
      <c r="E52" s="465"/>
      <c r="F52" s="465"/>
      <c r="G52" s="465"/>
      <c r="H52" s="465"/>
    </row>
    <row r="53" spans="1:9" ht="24" customHeight="1">
      <c r="A53" s="465" t="s">
        <v>287</v>
      </c>
      <c r="B53" s="465"/>
      <c r="C53" s="465"/>
      <c r="D53" s="465"/>
      <c r="E53" s="465"/>
      <c r="F53" s="465"/>
      <c r="G53" s="465"/>
      <c r="H53" s="465"/>
    </row>
    <row r="54" spans="1:9" ht="13.15" customHeight="1">
      <c r="A54" s="465" t="s">
        <v>288</v>
      </c>
      <c r="B54" s="465"/>
      <c r="C54" s="465"/>
      <c r="D54" s="465"/>
      <c r="E54" s="465"/>
      <c r="F54" s="465"/>
      <c r="G54" s="465"/>
      <c r="H54" s="465"/>
    </row>
    <row r="55" spans="1:9" ht="13.15" customHeight="1">
      <c r="A55" s="118"/>
      <c r="B55" s="461"/>
      <c r="C55" s="461"/>
      <c r="D55" s="461"/>
      <c r="E55" s="461"/>
      <c r="F55" s="461"/>
      <c r="G55" s="461"/>
      <c r="H55" s="461"/>
    </row>
    <row r="56" spans="1:9" ht="13.15" customHeight="1">
      <c r="A56" s="118"/>
      <c r="B56" s="225"/>
      <c r="C56" s="225"/>
      <c r="D56" s="225"/>
      <c r="E56" s="225"/>
      <c r="F56" s="225"/>
      <c r="G56" s="225"/>
      <c r="H56" s="225"/>
    </row>
    <row r="57" spans="1:9" ht="13.15" customHeight="1">
      <c r="A57" s="459"/>
      <c r="B57" s="459"/>
      <c r="C57" s="459"/>
      <c r="D57" s="459"/>
      <c r="E57" s="459"/>
      <c r="F57" s="459"/>
      <c r="G57" s="225"/>
      <c r="H57" s="225"/>
    </row>
    <row r="58" spans="1:9" ht="13.15" customHeight="1">
      <c r="A58" s="460"/>
      <c r="B58" s="460"/>
      <c r="C58" s="460"/>
      <c r="D58" s="460"/>
      <c r="E58" s="460"/>
      <c r="F58" s="460"/>
      <c r="G58" s="225"/>
      <c r="H58" s="225"/>
    </row>
    <row r="59" spans="1:9" ht="13.15" customHeight="1">
      <c r="A59" s="460"/>
      <c r="B59" s="460"/>
      <c r="C59" s="460"/>
      <c r="D59" s="460"/>
      <c r="E59" s="460"/>
      <c r="F59" s="460"/>
      <c r="G59" s="225"/>
      <c r="H59" s="225"/>
    </row>
    <row r="60" spans="1:9">
      <c r="A60" s="331"/>
      <c r="B60" s="97"/>
      <c r="D60" s="97"/>
      <c r="E60" s="97"/>
      <c r="I60"/>
    </row>
    <row r="61" spans="1:9" ht="15" customHeight="1">
      <c r="A61" s="459"/>
      <c r="B61" s="459"/>
      <c r="C61" s="459"/>
      <c r="D61" s="459"/>
      <c r="E61" s="459"/>
      <c r="F61" s="459"/>
      <c r="G61" s="271"/>
      <c r="H61" s="258"/>
      <c r="I61"/>
    </row>
    <row r="62" spans="1:9" ht="15" customHeight="1">
      <c r="A62" s="460"/>
      <c r="B62" s="460"/>
      <c r="C62" s="460"/>
      <c r="D62" s="460"/>
      <c r="E62" s="460"/>
      <c r="F62" s="460"/>
      <c r="G62" s="257"/>
      <c r="H62" s="258"/>
    </row>
    <row r="63" spans="1:9" ht="15" customHeight="1">
      <c r="A63" s="460"/>
      <c r="B63" s="460"/>
      <c r="C63" s="460"/>
      <c r="D63" s="460"/>
      <c r="E63" s="460"/>
      <c r="F63" s="460"/>
      <c r="G63" s="126"/>
      <c r="H63" s="259"/>
      <c r="I63" s="89"/>
    </row>
  </sheetData>
  <sheetProtection algorithmName="SHA-512" hashValue="O2THBlD0AAz09COlwNS0jHjAIdDoRuO9yFOXQg3kJSpotltZSERXju9dU0BmZu3wEcE/B9iw+a+8LSOaYi2Luw==" saltValue="mhc+iXA6C50wHHAMWIynUg==" spinCount="100000" sheet="1" objects="1" scenarios="1"/>
  <mergeCells count="19">
    <mergeCell ref="B55:H55"/>
    <mergeCell ref="C57:F57"/>
    <mergeCell ref="C58:F58"/>
    <mergeCell ref="C59:F59"/>
    <mergeCell ref="B1:H1"/>
    <mergeCell ref="C6:D6"/>
    <mergeCell ref="A50:B50"/>
    <mergeCell ref="A52:H52"/>
    <mergeCell ref="A53:H53"/>
    <mergeCell ref="A54:H54"/>
    <mergeCell ref="A63:B63"/>
    <mergeCell ref="C61:F61"/>
    <mergeCell ref="C62:F62"/>
    <mergeCell ref="A57:B57"/>
    <mergeCell ref="A58:B58"/>
    <mergeCell ref="A59:B59"/>
    <mergeCell ref="A61:B61"/>
    <mergeCell ref="A62:B62"/>
    <mergeCell ref="C63:F63"/>
  </mergeCells>
  <conditionalFormatting sqref="A52:H54">
    <cfRule type="containsText" dxfId="2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3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Planilha17">
    <tabColor theme="8" tint="-0.249977111117893"/>
    <pageSetUpPr fitToPage="1"/>
  </sheetPr>
  <dimension ref="A1:M65"/>
  <sheetViews>
    <sheetView showGridLines="0" topLeftCell="A7" zoomScale="80" zoomScaleNormal="80" zoomScaleSheetLayoutView="100" workbookViewId="0">
      <selection activeCell="B60" sqref="B60"/>
    </sheetView>
  </sheetViews>
  <sheetFormatPr defaultColWidth="9.140625" defaultRowHeight="15.75"/>
  <cols>
    <col min="1" max="1" width="5" style="78" customWidth="1"/>
    <col min="2" max="2" width="43.140625" style="78" customWidth="1"/>
    <col min="3" max="3" width="9.28515625" style="97" customWidth="1"/>
    <col min="4" max="4" width="8.28515625" style="100" bestFit="1" customWidth="1"/>
    <col min="5" max="5" width="12.140625" style="301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3" ht="35.25" customHeight="1">
      <c r="B1" s="462" t="s">
        <v>169</v>
      </c>
      <c r="C1" s="462"/>
      <c r="D1" s="462"/>
      <c r="E1" s="462"/>
      <c r="F1" s="462"/>
      <c r="G1" s="462"/>
      <c r="H1" s="462"/>
    </row>
    <row r="2" spans="1:13" s="89" customFormat="1" ht="15" customHeight="1">
      <c r="A2" s="77" t="s">
        <v>264</v>
      </c>
      <c r="C2" s="394" t="s">
        <v>240</v>
      </c>
      <c r="D2" s="145"/>
      <c r="E2" s="288"/>
      <c r="G2" s="86" t="s">
        <v>133</v>
      </c>
      <c r="H2" s="63" t="str">
        <f>Município!H4</f>
        <v>Inserir data na capa</v>
      </c>
    </row>
    <row r="3" spans="1:13" s="89" customFormat="1" ht="15" customHeight="1">
      <c r="A3" s="77" t="s">
        <v>134</v>
      </c>
      <c r="C3" s="80" t="str">
        <f>Município!B5</f>
        <v>CBH DOCE</v>
      </c>
      <c r="D3" s="145"/>
      <c r="E3" s="288"/>
      <c r="H3" s="98"/>
    </row>
    <row r="4" spans="1:13" s="89" customFormat="1" ht="15" customHeight="1">
      <c r="A4" s="77" t="s">
        <v>135</v>
      </c>
      <c r="C4" s="80" t="str">
        <f>Capa!B30</f>
        <v>Resplendor/MG</v>
      </c>
      <c r="D4" s="145"/>
      <c r="E4" s="288"/>
      <c r="G4" s="87"/>
      <c r="H4" s="86"/>
    </row>
    <row r="5" spans="1:13" ht="6" customHeight="1">
      <c r="A5" s="123"/>
      <c r="B5" s="124"/>
      <c r="C5" s="125"/>
      <c r="D5" s="146"/>
      <c r="E5" s="289"/>
      <c r="F5" s="126"/>
      <c r="G5" s="126"/>
      <c r="H5" s="149"/>
    </row>
    <row r="6" spans="1:13" s="100" customFormat="1" ht="47.45" customHeight="1">
      <c r="A6" s="232" t="s">
        <v>248</v>
      </c>
      <c r="B6" s="233" t="s">
        <v>249</v>
      </c>
      <c r="C6" s="463" t="s">
        <v>250</v>
      </c>
      <c r="D6" s="463"/>
      <c r="E6" s="290" t="s">
        <v>251</v>
      </c>
      <c r="F6" s="235" t="s">
        <v>252</v>
      </c>
      <c r="G6" s="235" t="s">
        <v>253</v>
      </c>
      <c r="H6" s="235" t="s">
        <v>254</v>
      </c>
    </row>
    <row r="7" spans="1:13" s="89" customFormat="1" ht="18" customHeight="1">
      <c r="A7" s="236">
        <v>1</v>
      </c>
      <c r="B7" s="237"/>
      <c r="C7" s="238"/>
      <c r="D7" s="236"/>
      <c r="E7" s="291"/>
      <c r="F7" s="237"/>
      <c r="G7" s="239" t="e">
        <f>G9</f>
        <v>#VALUE!</v>
      </c>
      <c r="H7" s="240" t="e">
        <f>G7/$G$50</f>
        <v>#VALUE!</v>
      </c>
    </row>
    <row r="8" spans="1:13" ht="6" customHeight="1">
      <c r="A8" s="123"/>
      <c r="B8" s="124"/>
      <c r="C8" s="125"/>
      <c r="D8" s="146"/>
      <c r="E8" s="289"/>
      <c r="F8" s="126"/>
      <c r="G8" s="126"/>
      <c r="H8" s="149"/>
    </row>
    <row r="9" spans="1:13" s="89" customFormat="1" ht="18" customHeight="1">
      <c r="A9" s="139" t="s">
        <v>28</v>
      </c>
      <c r="B9" s="140"/>
      <c r="C9" s="141"/>
      <c r="D9" s="139"/>
      <c r="E9" s="292"/>
      <c r="F9" s="140"/>
      <c r="G9" s="251" t="e">
        <f>SUM(G10:G14)</f>
        <v>#VALUE!</v>
      </c>
      <c r="H9" s="255" t="e">
        <f>SUM(H10:H14)</f>
        <v>#VALUE!</v>
      </c>
    </row>
    <row r="10" spans="1:13" s="90" customFormat="1" ht="16.149999999999999" customHeight="1">
      <c r="A10" s="172" t="s">
        <v>179</v>
      </c>
      <c r="B10" s="168" t="str">
        <f>Custos!B13</f>
        <v>Engenheiro Coordenador</v>
      </c>
      <c r="C10" s="169" t="e">
        <f>Custos!G13</f>
        <v>#VALUE!</v>
      </c>
      <c r="D10" s="167" t="s">
        <v>181</v>
      </c>
      <c r="E10" s="268">
        <f>ROUND(('P1'!E10+'P2'!E10+'P3'!E10+'P4'!E10+'P5'!E10+'P6'!E10+P7a!E10+P7b!E10+'P8'!E10),2)</f>
        <v>33</v>
      </c>
      <c r="F10" s="169" t="e">
        <f>C10*E10</f>
        <v>#VALUE!</v>
      </c>
      <c r="G10" s="169" t="e">
        <f>ROUND(('P1'!G10+'P2'!G10+'P3'!G10+'P4'!G10+'P5'!G10+'P6'!G10+P7a!G10+P7b!G10+'P8'!G10),2)</f>
        <v>#VALUE!</v>
      </c>
      <c r="H10" s="176" t="e">
        <f>G10/$G$50</f>
        <v>#VALUE!</v>
      </c>
      <c r="J10" s="91"/>
    </row>
    <row r="11" spans="1:13" s="90" customFormat="1" ht="16.149999999999999" customHeight="1">
      <c r="A11" s="172" t="s">
        <v>182</v>
      </c>
      <c r="B11" s="168" t="str">
        <f>Custos!B14</f>
        <v>Engenheiro de Projetos Pleno</v>
      </c>
      <c r="C11" s="171" t="e">
        <f>Custos!G14</f>
        <v>#VALUE!</v>
      </c>
      <c r="D11" s="170" t="s">
        <v>181</v>
      </c>
      <c r="E11" s="268">
        <f>ROUND(('P1'!E11+'P2'!E11+'P3'!E11+'P4'!E11+'P5'!E11+'P6'!E11+P7a!E11+P7b!E11+'P8'!E11),2)</f>
        <v>53</v>
      </c>
      <c r="F11" s="169" t="e">
        <f>C11*E11</f>
        <v>#VALUE!</v>
      </c>
      <c r="G11" s="169" t="e">
        <f>ROUND(('P1'!G11+'P2'!G11+'P3'!G11+'P4'!G11+'P5'!G11+'P6'!G11+P7a!G11+P7b!G11+'P8'!G11),2)</f>
        <v>#VALUE!</v>
      </c>
      <c r="H11" s="176" t="e">
        <f>G11/$G$50</f>
        <v>#VALUE!</v>
      </c>
      <c r="J11" s="91"/>
      <c r="K11" s="285"/>
      <c r="L11" s="286"/>
      <c r="M11" s="287"/>
    </row>
    <row r="12" spans="1:13" s="90" customFormat="1" ht="16.149999999999999" customHeight="1">
      <c r="A12" s="172" t="s">
        <v>184</v>
      </c>
      <c r="B12" s="168" t="str">
        <f>Custos!B15</f>
        <v>Engenheiro de Projetos Júnior</v>
      </c>
      <c r="C12" s="171" t="e">
        <f>Custos!G15</f>
        <v>#VALUE!</v>
      </c>
      <c r="D12" s="170" t="s">
        <v>181</v>
      </c>
      <c r="E12" s="268">
        <f>ROUND(('P1'!E12+'P2'!E12+'P3'!E12+'P4'!E12+'P5'!E12+'P6'!E12+P7a!E12+P7b!E12+'P8'!E12),2)</f>
        <v>130</v>
      </c>
      <c r="F12" s="169" t="e">
        <f>C12*E12</f>
        <v>#VALUE!</v>
      </c>
      <c r="G12" s="169" t="e">
        <f>ROUND(('P1'!G12+'P2'!G12+'P3'!G12+'P4'!G12+'P5'!G12+'P6'!G12+P7a!G12+P7b!G12+'P8'!G12),2)</f>
        <v>#VALUE!</v>
      </c>
      <c r="H12" s="176" t="e">
        <f>G12/$G$50</f>
        <v>#VALUE!</v>
      </c>
      <c r="J12" s="91"/>
    </row>
    <row r="13" spans="1:13" s="90" customFormat="1" ht="16.149999999999999" customHeight="1">
      <c r="A13" s="172" t="s">
        <v>186</v>
      </c>
      <c r="B13" s="168" t="str">
        <f>Custos!B16</f>
        <v>Técnico cadista</v>
      </c>
      <c r="C13" s="171" t="e">
        <f>Custos!G16</f>
        <v>#VALUE!</v>
      </c>
      <c r="D13" s="170" t="s">
        <v>181</v>
      </c>
      <c r="E13" s="268">
        <f>ROUND(('P1'!E13+'P2'!E13+'P3'!E13+'P4'!E13+'P5'!E13+'P6'!E13+P7a!E13+P7b!E13+'P8'!E13),2)</f>
        <v>280</v>
      </c>
      <c r="F13" s="169" t="e">
        <f>C13*E13</f>
        <v>#VALUE!</v>
      </c>
      <c r="G13" s="169" t="e">
        <f>ROUND(('P1'!G13+'P2'!G13+'P3'!G13+'P4'!G13+'P5'!G13+'P6'!G13+P7a!G13+P7b!G13+'P8'!G13),2)</f>
        <v>#VALUE!</v>
      </c>
      <c r="H13" s="176" t="e">
        <f>G13/$G$50</f>
        <v>#VALUE!</v>
      </c>
      <c r="J13" s="91"/>
    </row>
    <row r="14" spans="1:13" s="90" customFormat="1" ht="16.149999999999999" customHeight="1">
      <c r="A14" s="172" t="s">
        <v>188</v>
      </c>
      <c r="B14" s="168" t="str">
        <f>Custos!B17</f>
        <v>Auxiliar Administrativo</v>
      </c>
      <c r="C14" s="171" t="e">
        <f>Custos!G17</f>
        <v>#VALUE!</v>
      </c>
      <c r="D14" s="170" t="s">
        <v>181</v>
      </c>
      <c r="E14" s="268">
        <f>ROUND(('P1'!E14+'P2'!E14+'P3'!E14+'P4'!E14+'P5'!E14+'P6'!E14+P7a!E14+P7b!E14+'P8'!E14),2)</f>
        <v>390</v>
      </c>
      <c r="F14" s="169" t="e">
        <f>C14*E14</f>
        <v>#VALUE!</v>
      </c>
      <c r="G14" s="169" t="e">
        <f>ROUND(('P1'!G14+'P2'!G14+'P3'!G14+'P4'!G14+'P5'!G14+'P6'!G14+P7a!G14+P7b!G14+'P8'!G14),2)</f>
        <v>#VALUE!</v>
      </c>
      <c r="H14" s="176" t="e">
        <f>G14/$G$50</f>
        <v>#VALUE!</v>
      </c>
      <c r="J14" s="91"/>
    </row>
    <row r="15" spans="1:13" ht="6" customHeight="1">
      <c r="A15" s="123"/>
      <c r="B15" s="124"/>
      <c r="C15" s="125"/>
      <c r="D15" s="146"/>
      <c r="E15" s="289"/>
      <c r="F15" s="126"/>
      <c r="G15" s="126"/>
      <c r="H15" s="149"/>
      <c r="J15" s="91"/>
    </row>
    <row r="16" spans="1:13" s="89" customFormat="1" ht="18" customHeight="1">
      <c r="A16" s="236">
        <v>2</v>
      </c>
      <c r="B16" s="237"/>
      <c r="C16" s="238"/>
      <c r="D16" s="236"/>
      <c r="E16" s="291"/>
      <c r="F16" s="237"/>
      <c r="G16" s="239" t="e">
        <f>G18</f>
        <v>#VALUE!</v>
      </c>
      <c r="H16" s="240" t="e">
        <f>G16/$G$50</f>
        <v>#VALUE!</v>
      </c>
      <c r="J16" s="91"/>
    </row>
    <row r="17" spans="1:10" ht="5.0999999999999996" customHeight="1">
      <c r="A17" s="129"/>
      <c r="B17" s="131"/>
      <c r="C17" s="128"/>
      <c r="D17" s="122"/>
      <c r="E17" s="293"/>
      <c r="F17" s="122"/>
      <c r="G17" s="122"/>
      <c r="H17" s="148"/>
      <c r="J17" s="91"/>
    </row>
    <row r="18" spans="1:10" s="89" customFormat="1" ht="18" customHeight="1">
      <c r="A18" s="241" t="s">
        <v>46</v>
      </c>
      <c r="B18" s="242"/>
      <c r="C18" s="243"/>
      <c r="D18" s="241"/>
      <c r="E18" s="294"/>
      <c r="F18" s="243"/>
      <c r="G18" s="244" t="e">
        <f>SUM(G19:G24)</f>
        <v>#VALUE!</v>
      </c>
      <c r="H18" s="256" t="e">
        <f>SUM(H19:H24)</f>
        <v>#VALUE!</v>
      </c>
      <c r="J18" s="91"/>
    </row>
    <row r="19" spans="1:10" s="90" customFormat="1" ht="16.149999999999999" customHeight="1">
      <c r="A19" s="172" t="s">
        <v>179</v>
      </c>
      <c r="B19" s="168" t="str">
        <f>Custos!B22</f>
        <v>Advogado sênior</v>
      </c>
      <c r="C19" s="169" t="e">
        <f>Custos!G22</f>
        <v>#VALUE!</v>
      </c>
      <c r="D19" s="167" t="s">
        <v>181</v>
      </c>
      <c r="E19" s="268">
        <f>ROUND(('P1'!E19+'P2'!E19+'P3'!E19+'P4'!E19+'P5'!E19+'P6'!E19+P7a!E19+P7b!E19+'P8'!E19),2)</f>
        <v>25</v>
      </c>
      <c r="F19" s="169" t="e">
        <f>C19*E19</f>
        <v>#VALUE!</v>
      </c>
      <c r="G19" s="169" t="e">
        <f>ROUND(('P1'!G19+'P2'!G19+'P3'!G19+'P4'!G19+'P5'!G19+'P6'!G19+P7a!G19+P7b!G19+'P8'!G19),2)</f>
        <v>#VALUE!</v>
      </c>
      <c r="H19" s="175" t="e">
        <f t="shared" ref="H19:H24" si="0">G19/$G$50</f>
        <v>#VALUE!</v>
      </c>
      <c r="J19" s="91"/>
    </row>
    <row r="20" spans="1:10" s="90" customFormat="1" ht="16.149999999999999" customHeight="1">
      <c r="A20" s="172" t="s">
        <v>182</v>
      </c>
      <c r="B20" s="168" t="str">
        <f>Custos!B23</f>
        <v>Engenheiro de Projetos (Elétrico)</v>
      </c>
      <c r="C20" s="169" t="e">
        <f>Custos!G23</f>
        <v>#VALUE!</v>
      </c>
      <c r="D20" s="167" t="s">
        <v>181</v>
      </c>
      <c r="E20" s="268">
        <f>ROUND(('P1'!E20+'P2'!E20+'P3'!E20+'P4'!E20+'P5'!E20+'P6'!E20+P7a!E20+P7b!E20+'P8'!E20),2)</f>
        <v>20</v>
      </c>
      <c r="F20" s="169" t="e">
        <f t="shared" ref="F20:F24" si="1">C20*E20</f>
        <v>#VALUE!</v>
      </c>
      <c r="G20" s="169" t="e">
        <f>ROUND(('P1'!G20+'P2'!G20+'P3'!G20+'P4'!G20+'P5'!G20+'P6'!G20+P7a!G20+P7b!G20+'P8'!G20),2)</f>
        <v>#VALUE!</v>
      </c>
      <c r="H20" s="175" t="e">
        <f t="shared" si="0"/>
        <v>#VALUE!</v>
      </c>
      <c r="J20" s="91"/>
    </row>
    <row r="21" spans="1:10" s="90" customFormat="1" ht="16.149999999999999" customHeight="1">
      <c r="A21" s="172" t="s">
        <v>184</v>
      </c>
      <c r="B21" s="168" t="str">
        <f>Custos!B24</f>
        <v>Engenheiro de Projeto (Calculista)</v>
      </c>
      <c r="C21" s="169" t="e">
        <f>Custos!G24</f>
        <v>#VALUE!</v>
      </c>
      <c r="D21" s="167" t="s">
        <v>181</v>
      </c>
      <c r="E21" s="268">
        <f>ROUND(('P1'!E21+'P2'!E21+'P3'!E21+'P4'!E21+'P5'!E21+'P6'!E21+P7a!E21+P7b!E21+'P8'!E21),2)</f>
        <v>20</v>
      </c>
      <c r="F21" s="169" t="e">
        <f t="shared" si="1"/>
        <v>#VALUE!</v>
      </c>
      <c r="G21" s="169" t="e">
        <f>ROUND(('P1'!G21+'P2'!G21+'P3'!G21+'P4'!G21+'P5'!G21+'P6'!G21+P7a!G21+P7b!G21+'P8'!G21),2)</f>
        <v>#VALUE!</v>
      </c>
      <c r="H21" s="175" t="e">
        <f t="shared" si="0"/>
        <v>#VALUE!</v>
      </c>
      <c r="J21" s="91"/>
    </row>
    <row r="22" spans="1:10" s="90" customFormat="1" ht="16.149999999999999" customHeight="1">
      <c r="A22" s="172" t="s">
        <v>186</v>
      </c>
      <c r="B22" s="168" t="str">
        <f>Custos!B25</f>
        <v>Engenheiro de Projetos (Mecânico)</v>
      </c>
      <c r="C22" s="169" t="e">
        <f>Custos!G25</f>
        <v>#VALUE!</v>
      </c>
      <c r="D22" s="167" t="s">
        <v>181</v>
      </c>
      <c r="E22" s="268">
        <f>ROUND(('P1'!E22+'P2'!E22+'P3'!E22+'P4'!E22+'P5'!E22+'P6'!E22+P7a!E22+P7b!E22+'P8'!E22),2)</f>
        <v>20</v>
      </c>
      <c r="F22" s="169" t="e">
        <f t="shared" si="1"/>
        <v>#VALUE!</v>
      </c>
      <c r="G22" s="169" t="e">
        <f>ROUND(('P1'!G22+'P2'!G22+'P3'!G22+'P4'!G22+'P5'!G22+'P6'!G22+P7a!G22+P7b!G22+'P8'!G22),2)</f>
        <v>#VALUE!</v>
      </c>
      <c r="H22" s="175" t="e">
        <f t="shared" si="0"/>
        <v>#VALUE!</v>
      </c>
      <c r="J22" s="91"/>
    </row>
    <row r="23" spans="1:10" s="90" customFormat="1" ht="16.149999999999999" customHeight="1">
      <c r="A23" s="172" t="s">
        <v>188</v>
      </c>
      <c r="B23" s="168" t="str">
        <f>Custos!B26</f>
        <v>Engenheiro ambiental</v>
      </c>
      <c r="C23" s="169" t="e">
        <f>Custos!G26</f>
        <v>#VALUE!</v>
      </c>
      <c r="D23" s="167" t="s">
        <v>181</v>
      </c>
      <c r="E23" s="268">
        <f>ROUND(('P1'!E23+'P2'!E23+'P3'!E23+'P4'!E23+'P5'!E23+'P6'!E23+P7a!E23+P7b!E23+'P8'!E23),2)</f>
        <v>80</v>
      </c>
      <c r="F23" s="169" t="e">
        <f t="shared" si="1"/>
        <v>#VALUE!</v>
      </c>
      <c r="G23" s="169" t="e">
        <f>ROUND(('P1'!G23+'P2'!G23+'P3'!G23+'P4'!G23+'P5'!G23+'P6'!G23+P7a!G23+P7b!G23+'P8'!G23),2)</f>
        <v>#VALUE!</v>
      </c>
      <c r="H23" s="175" t="e">
        <f t="shared" si="0"/>
        <v>#VALUE!</v>
      </c>
      <c r="J23" s="91"/>
    </row>
    <row r="24" spans="1:10" s="90" customFormat="1" ht="16.149999999999999" customHeight="1">
      <c r="A24" s="172" t="s">
        <v>197</v>
      </c>
      <c r="B24" s="168" t="str">
        <f>Custos!B27</f>
        <v>Técnico em geoprocessamento</v>
      </c>
      <c r="C24" s="169" t="e">
        <f>Custos!G27</f>
        <v>#VALUE!</v>
      </c>
      <c r="D24" s="167" t="s">
        <v>181</v>
      </c>
      <c r="E24" s="268">
        <f>ROUND(('P1'!E24+'P2'!E24+'P3'!E24+'P4'!E24+'P5'!E24+'P6'!E24+P7a!E24+P7b!E24+'P8'!E24),2)</f>
        <v>100</v>
      </c>
      <c r="F24" s="169" t="e">
        <f t="shared" si="1"/>
        <v>#VALUE!</v>
      </c>
      <c r="G24" s="169" t="e">
        <f>ROUND(('P1'!G24+'P2'!G24+'P3'!G24+'P4'!G24+'P5'!G24+'P6'!G24+P7a!G24+P7b!G24+'P8'!G24),2)</f>
        <v>#VALUE!</v>
      </c>
      <c r="H24" s="175" t="e">
        <f t="shared" si="0"/>
        <v>#VALUE!</v>
      </c>
      <c r="J24" s="91"/>
    </row>
    <row r="25" spans="1:10" ht="6" customHeight="1">
      <c r="A25" s="123"/>
      <c r="B25" s="124"/>
      <c r="C25" s="125"/>
      <c r="D25" s="146"/>
      <c r="E25" s="289"/>
      <c r="F25" s="126"/>
      <c r="G25" s="126"/>
      <c r="H25" s="149"/>
      <c r="J25" s="91"/>
    </row>
    <row r="26" spans="1:10" s="89" customFormat="1" ht="18" customHeight="1">
      <c r="A26" s="245">
        <v>3</v>
      </c>
      <c r="B26" s="143"/>
      <c r="C26" s="144"/>
      <c r="D26" s="142"/>
      <c r="E26" s="295"/>
      <c r="F26" s="143"/>
      <c r="G26" s="250" t="e">
        <f>G28+G33+G39</f>
        <v>#VALUE!</v>
      </c>
      <c r="H26" s="240" t="e">
        <f>G26/$G$50</f>
        <v>#VALUE!</v>
      </c>
      <c r="J26" s="91"/>
    </row>
    <row r="27" spans="1:10" ht="5.0999999999999996" customHeight="1">
      <c r="A27" s="129"/>
      <c r="B27" s="131"/>
      <c r="C27" s="128"/>
      <c r="D27" s="122"/>
      <c r="E27" s="293"/>
      <c r="F27" s="122"/>
      <c r="G27" s="122"/>
      <c r="H27" s="148"/>
      <c r="J27" s="91"/>
    </row>
    <row r="28" spans="1:10" s="89" customFormat="1" ht="18" customHeight="1">
      <c r="A28" s="139" t="s">
        <v>58</v>
      </c>
      <c r="B28" s="140"/>
      <c r="C28" s="141"/>
      <c r="D28" s="139"/>
      <c r="E28" s="292"/>
      <c r="F28" s="140"/>
      <c r="G28" s="251" t="e">
        <f>SUM(G29:G31)</f>
        <v>#VALUE!</v>
      </c>
      <c r="H28" s="255" t="e">
        <f>SUM(H29:H31)</f>
        <v>#VALUE!</v>
      </c>
      <c r="J28" s="91"/>
    </row>
    <row r="29" spans="1:10" s="90" customFormat="1">
      <c r="A29" s="172" t="s">
        <v>179</v>
      </c>
      <c r="B29" s="278" t="str">
        <f>Custos!B38</f>
        <v>Mobilização e desmobilização de equipe de topografia</v>
      </c>
      <c r="C29" s="174" t="str">
        <f>Custos!G38</f>
        <v>preencher</v>
      </c>
      <c r="D29" s="212" t="str">
        <f>Custos!E38</f>
        <v>km</v>
      </c>
      <c r="E29" s="268">
        <f>ROUND(('P1'!E29+'P2'!E29+'P3'!E29+'P4'!E29+'P5'!E29+'P6'!E29+P7a!E29+P7b!E29+'P8'!E29),2)</f>
        <v>385</v>
      </c>
      <c r="F29" s="169" t="e">
        <f>E29*C29</f>
        <v>#VALUE!</v>
      </c>
      <c r="G29" s="169" t="e">
        <f>ROUND(('P1'!G29+'P2'!G29+'P3'!G29+'P4'!G29+'P5'!G29+'P6'!G29+P7a!G29+P7b!G29+'P8'!G29),2)</f>
        <v>#VALUE!</v>
      </c>
      <c r="H29" s="176" t="e">
        <f>G29/$G$50</f>
        <v>#VALUE!</v>
      </c>
      <c r="J29" s="91"/>
    </row>
    <row r="30" spans="1:10" s="90" customFormat="1">
      <c r="A30" s="172" t="s">
        <v>182</v>
      </c>
      <c r="B30" s="264" t="str">
        <f>Custos!B39</f>
        <v>Equipe de topografia de campo</v>
      </c>
      <c r="C30" s="174" t="str">
        <f>Custos!G39</f>
        <v>preencher</v>
      </c>
      <c r="D30" s="212" t="str">
        <f>Custos!E39</f>
        <v>mês</v>
      </c>
      <c r="E30" s="268">
        <f>ROUND(('P1'!E30+'P2'!E30+'P3'!E30+'P4'!E30+'P5'!E30+'P6'!E30+P7a!E30+P7b!E30+'P8'!E30),2)</f>
        <v>0.2</v>
      </c>
      <c r="F30" s="169" t="e">
        <f t="shared" ref="F30:F31" si="2">E30*C30</f>
        <v>#VALUE!</v>
      </c>
      <c r="G30" s="169" t="e">
        <f>ROUND(('P1'!G30+'P2'!G30+'P3'!G30+'P4'!G30+'P5'!G30+'P6'!G30+P7a!G30+P7b!G30+'P8'!G30),2)</f>
        <v>#VALUE!</v>
      </c>
      <c r="H30" s="176" t="e">
        <f>G30/$G$50</f>
        <v>#VALUE!</v>
      </c>
      <c r="J30" s="91"/>
    </row>
    <row r="31" spans="1:10" s="90" customFormat="1">
      <c r="A31" s="172" t="s">
        <v>184</v>
      </c>
      <c r="B31" s="264" t="str">
        <f>Custos!B40</f>
        <v>Equipe de topografia de escritório</v>
      </c>
      <c r="C31" s="174" t="str">
        <f>Custos!G40</f>
        <v>preencher</v>
      </c>
      <c r="D31" s="212" t="str">
        <f>Custos!E40</f>
        <v>mês</v>
      </c>
      <c r="E31" s="268">
        <f>ROUND(('P1'!E31+'P2'!E31+'P3'!E31+'P4'!E31+'P5'!E31+'P6'!E31+P7a!E31+P7b!E31+'P8'!E31),2)</f>
        <v>0.1</v>
      </c>
      <c r="F31" s="169" t="e">
        <f t="shared" si="2"/>
        <v>#VALUE!</v>
      </c>
      <c r="G31" s="169" t="e">
        <f>ROUND(('P1'!G31+'P2'!G31+'P3'!G31+'P4'!G31+'P5'!G31+'P6'!G31+P7a!G31+P7b!G31+'P8'!G31),2)</f>
        <v>#VALUE!</v>
      </c>
      <c r="H31" s="176" t="e">
        <f>G31/$G$50</f>
        <v>#VALUE!</v>
      </c>
      <c r="J31" s="91"/>
    </row>
    <row r="32" spans="1:10" ht="5.0999999999999996" customHeight="1">
      <c r="A32" s="129"/>
      <c r="B32" s="131"/>
      <c r="C32" s="128"/>
      <c r="D32" s="122"/>
      <c r="E32" s="293"/>
      <c r="F32" s="122"/>
      <c r="G32" s="122"/>
      <c r="H32" s="148"/>
      <c r="J32" s="91"/>
    </row>
    <row r="33" spans="1:10" s="89" customFormat="1" ht="18" customHeight="1">
      <c r="A33" s="119" t="s">
        <v>59</v>
      </c>
      <c r="B33" s="132"/>
      <c r="C33" s="121"/>
      <c r="D33" s="119"/>
      <c r="E33" s="296"/>
      <c r="F33" s="120"/>
      <c r="G33" s="133" t="e">
        <f>SUM(G34:G37)</f>
        <v>#VALUE!</v>
      </c>
      <c r="H33" s="254" t="e">
        <f>SUM(H34:H37)</f>
        <v>#VALUE!</v>
      </c>
      <c r="J33" s="91"/>
    </row>
    <row r="34" spans="1:10" s="90" customFormat="1">
      <c r="A34" s="172" t="s">
        <v>179</v>
      </c>
      <c r="B34" s="279" t="str">
        <f>Custos!B32</f>
        <v>Sondagem a percussao - mobilizacao e desmobilizacao</v>
      </c>
      <c r="C34" s="174" t="str">
        <f>Custos!G32</f>
        <v>preencher</v>
      </c>
      <c r="D34" s="212" t="str">
        <f>Custos!E32</f>
        <v>unidade</v>
      </c>
      <c r="E34" s="268">
        <f>ROUND(('P1'!E34+'P2'!E34+'P3'!E34+'P4'!E34+'P5'!E34+'P6'!E34+P7a!E34+P7b!E34+'P8'!E34),2)</f>
        <v>1</v>
      </c>
      <c r="F34" s="169" t="e">
        <f>E34*C34</f>
        <v>#VALUE!</v>
      </c>
      <c r="G34" s="169" t="e">
        <f>ROUND(('P1'!G34+'P2'!G34+'P3'!G34+'P4'!G34+'P5'!G34+'P6'!G34+P7a!G34+P7b!G34+'P8'!G34),2)</f>
        <v>#VALUE!</v>
      </c>
      <c r="H34" s="176" t="e">
        <f>G34/$G$50</f>
        <v>#VALUE!</v>
      </c>
      <c r="J34" s="91"/>
    </row>
    <row r="35" spans="1:10" s="90" customFormat="1" ht="26.45" customHeight="1">
      <c r="A35" s="172" t="s">
        <v>182</v>
      </c>
      <c r="B35" s="277" t="str">
        <f>Custos!B33</f>
        <v>Sondagem a percussao - adicional de mobilizacao e desmobilizacao</v>
      </c>
      <c r="C35" s="174" t="str">
        <f>Custos!G33</f>
        <v>preencher</v>
      </c>
      <c r="D35" s="212" t="str">
        <f>Custos!E33</f>
        <v>km</v>
      </c>
      <c r="E35" s="268">
        <f>ROUND(('P1'!E35+'P2'!E35+'P3'!E35+'P4'!E35+'P5'!E35+'P6'!E35+P7a!E35+P7b!E35+'P8'!E35),2)</f>
        <v>0</v>
      </c>
      <c r="F35" s="169" t="e">
        <f t="shared" ref="F35:F37" si="3">E35*C35</f>
        <v>#VALUE!</v>
      </c>
      <c r="G35" s="169" t="e">
        <f>ROUND(('P1'!G35+'P2'!G35+'P3'!G35+'P4'!G35+'P5'!G35+'P6'!G35+P7a!G35+P7b!G35+'P8'!G35),2)</f>
        <v>#VALUE!</v>
      </c>
      <c r="H35" s="175" t="e">
        <f>G35/$G$50</f>
        <v>#VALUE!</v>
      </c>
      <c r="J35" s="91"/>
    </row>
    <row r="36" spans="1:10" s="90" customFormat="1">
      <c r="A36" s="172" t="s">
        <v>184</v>
      </c>
      <c r="B36" s="279" t="str">
        <f>Custos!B34</f>
        <v>Sondagem a percussao - instalacao por furo</v>
      </c>
      <c r="C36" s="174" t="str">
        <f>Custos!G34</f>
        <v>preencher</v>
      </c>
      <c r="D36" s="212" t="str">
        <f>Custos!E34</f>
        <v>unidade</v>
      </c>
      <c r="E36" s="268">
        <f>ROUND(('P1'!E36+'P2'!E36+'P3'!E36+'P4'!E36+'P5'!E36+'P6'!E36+P7a!E36+P7b!E36+'P8'!E36),2)</f>
        <v>5</v>
      </c>
      <c r="F36" s="169" t="e">
        <f t="shared" si="3"/>
        <v>#VALUE!</v>
      </c>
      <c r="G36" s="169" t="e">
        <f>ROUND(('P1'!G36+'P2'!G36+'P3'!G36+'P4'!G36+'P5'!G36+'P6'!G36+P7a!G36+P7b!G36+'P8'!G36),2)</f>
        <v>#VALUE!</v>
      </c>
      <c r="H36" s="176" t="e">
        <f>G36/$G$50</f>
        <v>#VALUE!</v>
      </c>
      <c r="J36" s="91"/>
    </row>
    <row r="37" spans="1:10" s="90" customFormat="1" ht="26.45" customHeight="1">
      <c r="A37" s="172" t="s">
        <v>186</v>
      </c>
      <c r="B37" s="277" t="str">
        <f>Custos!B35</f>
        <v>Sondagem a percussao ø2.1/2" - perfuracao e retirada de amostras</v>
      </c>
      <c r="C37" s="174" t="str">
        <f>Custos!G35</f>
        <v>preencher</v>
      </c>
      <c r="D37" s="212" t="str">
        <f>Custos!E35</f>
        <v>m</v>
      </c>
      <c r="E37" s="268">
        <f>ROUND(('P1'!E37+'P2'!E37+'P3'!E37+'P4'!E37+'P5'!E37+'P6'!E37+P7a!E37+P7b!E37+'P8'!E37),2)</f>
        <v>109</v>
      </c>
      <c r="F37" s="169" t="e">
        <f t="shared" si="3"/>
        <v>#VALUE!</v>
      </c>
      <c r="G37" s="169" t="e">
        <f>ROUND(('P1'!G37+'P2'!G37+'P3'!G37+'P4'!G37+'P5'!G37+'P6'!G37+P7a!G37+P7b!G37+'P8'!G37),2)</f>
        <v>#VALUE!</v>
      </c>
      <c r="H37" s="175" t="e">
        <f>G37/$G$50</f>
        <v>#VALUE!</v>
      </c>
      <c r="J37" s="91"/>
    </row>
    <row r="38" spans="1:10" s="90" customFormat="1" ht="9" customHeight="1">
      <c r="A38" s="220"/>
      <c r="B38" s="221"/>
      <c r="C38" s="222"/>
      <c r="D38" s="122"/>
      <c r="E38" s="297"/>
      <c r="F38" s="223"/>
      <c r="G38" s="223"/>
      <c r="H38" s="224"/>
      <c r="J38" s="91"/>
    </row>
    <row r="39" spans="1:10" s="89" customFormat="1" ht="18" customHeight="1">
      <c r="A39" s="119" t="s">
        <v>60</v>
      </c>
      <c r="B39" s="132"/>
      <c r="C39" s="121"/>
      <c r="D39" s="119"/>
      <c r="E39" s="296"/>
      <c r="F39" s="120"/>
      <c r="G39" s="133" t="e">
        <f>SUM(G40:G41)</f>
        <v>#VALUE!</v>
      </c>
      <c r="H39" s="254" t="e">
        <f>SUM(H40:H41)</f>
        <v>#VALUE!</v>
      </c>
      <c r="J39" s="91"/>
    </row>
    <row r="40" spans="1:10" s="90" customFormat="1">
      <c r="A40" s="172" t="s">
        <v>179</v>
      </c>
      <c r="B40" s="278" t="str">
        <f>Custos!B43</f>
        <v>Equipe de topografia de campo</v>
      </c>
      <c r="C40" s="174" t="str">
        <f>Custos!G43</f>
        <v>preencher</v>
      </c>
      <c r="D40" s="212" t="str">
        <f>Custos!E43</f>
        <v>mês</v>
      </c>
      <c r="E40" s="268">
        <f>ROUND(('P1'!E40+'P2'!E40+'P3'!E40+'P4'!E40+'P5'!E40+'P6'!E40+P7a!E40+P7b!E40+'P8'!E40),2)</f>
        <v>0.1</v>
      </c>
      <c r="F40" s="169" t="e">
        <f>E40*C40</f>
        <v>#VALUE!</v>
      </c>
      <c r="G40" s="169" t="e">
        <f>ROUND(('P1'!G40+'P2'!G40+'P3'!G40+'P4'!G40+'P5'!G40+'P6'!G40+P7a!G40+P7b!G40+'P8'!G40),2)</f>
        <v>#VALUE!</v>
      </c>
      <c r="H40" s="176" t="e">
        <f>G40/$G$50</f>
        <v>#VALUE!</v>
      </c>
      <c r="J40" s="91"/>
    </row>
    <row r="41" spans="1:10" s="90" customFormat="1">
      <c r="A41" s="172" t="s">
        <v>182</v>
      </c>
      <c r="B41" s="278" t="str">
        <f>Custos!B44</f>
        <v>Equipe de topografia de escritório</v>
      </c>
      <c r="C41" s="174" t="str">
        <f>Custos!G44</f>
        <v>preencher</v>
      </c>
      <c r="D41" s="212" t="str">
        <f>Custos!E44</f>
        <v>mês</v>
      </c>
      <c r="E41" s="268">
        <f>ROUND(('P1'!E41+'P2'!E41+'P3'!E41+'P4'!E41+'P5'!E41+'P6'!E41+P7a!E41+P7b!E41+'P8'!E41),2)</f>
        <v>0.1</v>
      </c>
      <c r="F41" s="169" t="e">
        <f>E41*C41</f>
        <v>#VALUE!</v>
      </c>
      <c r="G41" s="169" t="e">
        <f>ROUND(('P1'!G41+'P2'!G41+'P3'!G41+'P4'!G41+'P5'!G41+'P6'!G41+P7a!G41+P7b!G41+'P8'!G41),2)</f>
        <v>#VALUE!</v>
      </c>
      <c r="H41" s="176" t="e">
        <f>G41/$G$50</f>
        <v>#VALUE!</v>
      </c>
      <c r="J41" s="91"/>
    </row>
    <row r="42" spans="1:10" ht="5.0999999999999996" customHeight="1">
      <c r="A42" s="172"/>
      <c r="B42" s="134"/>
      <c r="C42" s="128"/>
      <c r="D42" s="167"/>
      <c r="E42" s="293"/>
      <c r="F42" s="122"/>
      <c r="G42" s="122"/>
      <c r="H42" s="148"/>
      <c r="J42" s="91"/>
    </row>
    <row r="43" spans="1:10" s="89" customFormat="1" ht="18" customHeight="1">
      <c r="A43" s="245" t="s">
        <v>255</v>
      </c>
      <c r="B43" s="143"/>
      <c r="C43" s="144"/>
      <c r="D43" s="142"/>
      <c r="E43" s="295"/>
      <c r="F43" s="143"/>
      <c r="G43" s="250" t="e">
        <f>G45</f>
        <v>#VALUE!</v>
      </c>
      <c r="H43" s="240" t="e">
        <f>G43/$G$50</f>
        <v>#VALUE!</v>
      </c>
      <c r="I43" s="87"/>
      <c r="J43" s="91"/>
    </row>
    <row r="44" spans="1:10" ht="5.0999999999999996" customHeight="1">
      <c r="A44" s="246"/>
      <c r="B44" s="134"/>
      <c r="C44" s="128"/>
      <c r="D44" s="122"/>
      <c r="E44" s="293"/>
      <c r="F44" s="122"/>
      <c r="G44" s="122"/>
      <c r="H44" s="148"/>
      <c r="J44" s="91"/>
    </row>
    <row r="45" spans="1:10" s="89" customFormat="1" ht="18" customHeight="1">
      <c r="A45" s="119" t="s">
        <v>71</v>
      </c>
      <c r="B45" s="120"/>
      <c r="C45" s="121"/>
      <c r="D45" s="119"/>
      <c r="E45" s="296"/>
      <c r="F45" s="120"/>
      <c r="G45" s="138" t="e">
        <f>SUM(G46:G48)</f>
        <v>#VALUE!</v>
      </c>
      <c r="H45" s="253" t="e">
        <f>SUM(H46:H48)</f>
        <v>#VALUE!</v>
      </c>
      <c r="I45" s="87"/>
      <c r="J45" s="91"/>
    </row>
    <row r="46" spans="1:10" s="90" customFormat="1">
      <c r="A46" s="172" t="s">
        <v>179</v>
      </c>
      <c r="B46" s="173" t="str">
        <f>Custos!B49</f>
        <v>Veículo tipo pick-up 4X4</v>
      </c>
      <c r="C46" s="174" t="e">
        <f>Custos!G49/30</f>
        <v>#VALUE!</v>
      </c>
      <c r="D46" s="212" t="str">
        <f>'P1'!D46</f>
        <v>R$/dia</v>
      </c>
      <c r="E46" s="268">
        <f>ROUND(('P1'!E46+'P2'!E46+'P3'!E46+'P4'!E46+'P5'!E46+'P6'!E46+P7a!E46+P7b!E46+'P8'!E46),2)</f>
        <v>11</v>
      </c>
      <c r="F46" s="276" t="e">
        <f>ROUND(('P1'!F46+'P2'!F46+'P3'!F46+'P4'!F46+'P5'!F46+'P6'!F46+P7a!F46+'P8'!F46),2)</f>
        <v>#VALUE!</v>
      </c>
      <c r="G46" s="169" t="e">
        <f>ROUND(('P1'!G46+'P2'!G46+'P3'!G46+'P4'!G46+'P5'!G46+'P6'!G46+P7a!G46+P7b!G46+'P8'!G46),2)</f>
        <v>#VALUE!</v>
      </c>
      <c r="H46" s="176" t="e">
        <f>G46/$G$50</f>
        <v>#VALUE!</v>
      </c>
      <c r="J46" s="91"/>
    </row>
    <row r="47" spans="1:10" s="90" customFormat="1" ht="16.149999999999999" customHeight="1">
      <c r="A47" s="172" t="s">
        <v>182</v>
      </c>
      <c r="B47" s="173" t="str">
        <f>Custos!B50</f>
        <v>Refeições</v>
      </c>
      <c r="C47" s="174" t="str">
        <f>'P1'!C47</f>
        <v>preencher</v>
      </c>
      <c r="D47" s="212" t="str">
        <f>'P1'!D47</f>
        <v>unidade</v>
      </c>
      <c r="E47" s="268">
        <f>ROUND(('P1'!E47+'P2'!E47+'P3'!E47+'P4'!E47+'P5'!E47+'P6'!E47+P7a!E47+P7b!E47+'P8'!E47),2)</f>
        <v>35</v>
      </c>
      <c r="F47" s="169" t="e">
        <f t="shared" ref="F47:F48" si="4">E47*C47</f>
        <v>#VALUE!</v>
      </c>
      <c r="G47" s="169" t="e">
        <f>ROUND(('P1'!G47+'P2'!G47+'P3'!G47+'P4'!G47+'P5'!G47+'P6'!G47+P7a!G47+P7b!G47+'P8'!G47),2)</f>
        <v>#VALUE!</v>
      </c>
      <c r="H47" s="176" t="e">
        <f>G47/$G$50</f>
        <v>#VALUE!</v>
      </c>
      <c r="J47" s="91"/>
    </row>
    <row r="48" spans="1:10" s="90" customFormat="1" ht="16.149999999999999" customHeight="1">
      <c r="A48" s="172" t="s">
        <v>184</v>
      </c>
      <c r="B48" s="173" t="str">
        <f>Custos!B51</f>
        <v>Diárias</v>
      </c>
      <c r="C48" s="174" t="str">
        <f>'P1'!C48</f>
        <v>preencher</v>
      </c>
      <c r="D48" s="212" t="str">
        <f>'P1'!D48</f>
        <v>unidade</v>
      </c>
      <c r="E48" s="268">
        <f>ROUND(('P1'!E48+'P2'!E48+'P3'!E48+'P4'!E48+'P5'!E48+'P6'!E48+P7a!E48+P7b!E48+'P8'!E48),2)</f>
        <v>21</v>
      </c>
      <c r="F48" s="169" t="e">
        <f t="shared" si="4"/>
        <v>#VALUE!</v>
      </c>
      <c r="G48" s="169" t="e">
        <f>ROUND(('P1'!G48+'P2'!G48+'P3'!G48+'P4'!G48+'P5'!G48+'P6'!G48+P7a!G48+P7b!G48+'P8'!G48),2)</f>
        <v>#VALUE!</v>
      </c>
      <c r="H48" s="176" t="e">
        <f>G48/$G$50</f>
        <v>#VALUE!</v>
      </c>
      <c r="J48" s="91"/>
    </row>
    <row r="49" spans="1:10" ht="6" customHeight="1">
      <c r="A49" s="117"/>
      <c r="B49" s="135"/>
      <c r="C49" s="136"/>
      <c r="D49" s="146"/>
      <c r="E49" s="298"/>
      <c r="F49" s="126"/>
      <c r="G49" s="137"/>
      <c r="H49" s="150"/>
      <c r="J49" s="91"/>
    </row>
    <row r="50" spans="1:10" ht="18" customHeight="1">
      <c r="A50" s="464" t="s">
        <v>256</v>
      </c>
      <c r="B50" s="464"/>
      <c r="C50" s="247"/>
      <c r="D50" s="248"/>
      <c r="E50" s="299"/>
      <c r="F50" s="247" t="s">
        <v>237</v>
      </c>
      <c r="G50" s="247" t="e">
        <f>ROUND(G7+G16+G26+G43,2)</f>
        <v>#VALUE!</v>
      </c>
      <c r="H50" s="252" t="e">
        <f>H7+H16+H26+H43</f>
        <v>#VALUE!</v>
      </c>
      <c r="J50" s="91"/>
    </row>
    <row r="51" spans="1:10" ht="6" customHeight="1">
      <c r="A51" s="93"/>
      <c r="B51" s="95"/>
      <c r="C51" s="99"/>
      <c r="D51" s="94"/>
      <c r="E51" s="300"/>
      <c r="F51" s="96"/>
      <c r="G51" s="88"/>
      <c r="H51" s="180"/>
      <c r="J51" s="89"/>
    </row>
    <row r="52" spans="1:10" ht="20.100000000000001" customHeight="1">
      <c r="A52" s="465" t="s">
        <v>286</v>
      </c>
      <c r="B52" s="465"/>
      <c r="C52" s="465"/>
      <c r="D52" s="465"/>
      <c r="E52" s="465"/>
      <c r="F52" s="465"/>
      <c r="G52" s="465"/>
      <c r="H52" s="465"/>
      <c r="J52" s="89"/>
    </row>
    <row r="53" spans="1:10" ht="24" customHeight="1">
      <c r="A53" s="465" t="s">
        <v>287</v>
      </c>
      <c r="B53" s="465"/>
      <c r="C53" s="465"/>
      <c r="D53" s="465"/>
      <c r="E53" s="465"/>
      <c r="F53" s="465"/>
      <c r="G53" s="465"/>
      <c r="H53" s="465"/>
      <c r="J53" s="89"/>
    </row>
    <row r="54" spans="1:10" ht="13.15" customHeight="1">
      <c r="A54" s="465" t="s">
        <v>288</v>
      </c>
      <c r="B54" s="465"/>
      <c r="C54" s="465"/>
      <c r="D54" s="465"/>
      <c r="E54" s="465"/>
      <c r="F54" s="465"/>
      <c r="G54" s="465"/>
      <c r="H54" s="465"/>
      <c r="J54" s="89"/>
    </row>
    <row r="55" spans="1:10" ht="13.15" customHeight="1">
      <c r="A55" s="118"/>
      <c r="B55" s="461"/>
      <c r="C55" s="461"/>
      <c r="D55" s="461"/>
      <c r="E55" s="461"/>
      <c r="F55" s="461"/>
      <c r="G55" s="461"/>
      <c r="H55" s="461"/>
      <c r="J55" s="89"/>
    </row>
    <row r="56" spans="1:10" ht="13.15" customHeight="1">
      <c r="A56" s="118"/>
      <c r="B56" s="225"/>
      <c r="C56" s="225"/>
      <c r="D56" s="225"/>
      <c r="E56" s="225"/>
      <c r="F56" s="225"/>
      <c r="G56" s="225"/>
      <c r="H56" s="225"/>
      <c r="J56" s="89"/>
    </row>
    <row r="57" spans="1:10" ht="13.15" customHeight="1">
      <c r="A57" s="459"/>
      <c r="B57" s="459"/>
      <c r="C57" s="459"/>
      <c r="D57" s="459"/>
      <c r="E57" s="459"/>
      <c r="F57" s="459"/>
      <c r="G57" s="225"/>
      <c r="H57" s="225"/>
    </row>
    <row r="58" spans="1:10" ht="13.15" customHeight="1">
      <c r="A58" s="460"/>
      <c r="B58" s="460"/>
      <c r="C58" s="460"/>
      <c r="D58" s="460"/>
      <c r="E58" s="460"/>
      <c r="F58" s="460"/>
      <c r="G58" s="225"/>
      <c r="H58" s="225"/>
    </row>
    <row r="59" spans="1:10" ht="13.15" customHeight="1">
      <c r="A59" s="460"/>
      <c r="B59" s="460"/>
      <c r="C59" s="460"/>
      <c r="D59" s="460"/>
      <c r="E59" s="460"/>
      <c r="F59" s="460"/>
      <c r="G59" s="225"/>
      <c r="H59" s="225"/>
    </row>
    <row r="60" spans="1:10">
      <c r="A60" s="331"/>
      <c r="B60" s="97"/>
      <c r="D60" s="97"/>
      <c r="E60" s="97"/>
      <c r="I60"/>
    </row>
    <row r="61" spans="1:10" ht="15" customHeight="1">
      <c r="A61" s="459"/>
      <c r="B61" s="459"/>
      <c r="C61" s="459"/>
      <c r="D61" s="459"/>
      <c r="E61" s="459"/>
      <c r="F61" s="459"/>
      <c r="G61" s="271"/>
      <c r="H61" s="258"/>
      <c r="I61"/>
    </row>
    <row r="62" spans="1:10" ht="15" customHeight="1">
      <c r="A62" s="460"/>
      <c r="B62" s="460"/>
      <c r="C62" s="460"/>
      <c r="D62" s="460"/>
      <c r="E62" s="460"/>
      <c r="F62" s="460"/>
      <c r="G62" s="257"/>
      <c r="H62" s="258"/>
    </row>
    <row r="63" spans="1:10" ht="15" customHeight="1">
      <c r="A63" s="460"/>
      <c r="B63" s="460"/>
      <c r="C63" s="460"/>
      <c r="D63" s="460"/>
      <c r="E63" s="460"/>
      <c r="F63" s="460"/>
      <c r="G63" s="126"/>
      <c r="H63" s="259"/>
      <c r="I63" s="89"/>
    </row>
    <row r="64" spans="1:10">
      <c r="E64" s="78"/>
    </row>
    <row r="65" spans="1:6">
      <c r="A65" s="123"/>
      <c r="C65" s="460"/>
      <c r="D65" s="460"/>
      <c r="E65" s="460"/>
      <c r="F65" s="460"/>
    </row>
  </sheetData>
  <sheetProtection algorithmName="SHA-512" hashValue="e/mkGXIryes8Rd20JqhyET3l2sU62NAXarYQxswW1GooyJTWL8Bg/aqGyWaS1pM6yYduxLpu3HZIg4AXGOOn5g==" saltValue="g6h5T8WmAYmst/1X0/CErg==" spinCount="100000" sheet="1" objects="1" scenarios="1"/>
  <mergeCells count="20">
    <mergeCell ref="A54:H54"/>
    <mergeCell ref="C65:F65"/>
    <mergeCell ref="A62:B62"/>
    <mergeCell ref="C62:F62"/>
    <mergeCell ref="A63:B63"/>
    <mergeCell ref="C63:F63"/>
    <mergeCell ref="B1:H1"/>
    <mergeCell ref="C6:D6"/>
    <mergeCell ref="A50:B50"/>
    <mergeCell ref="A52:H52"/>
    <mergeCell ref="A53:H53"/>
    <mergeCell ref="B55:H55"/>
    <mergeCell ref="C59:F59"/>
    <mergeCell ref="C61:F61"/>
    <mergeCell ref="A57:B57"/>
    <mergeCell ref="C57:F57"/>
    <mergeCell ref="A58:B58"/>
    <mergeCell ref="C58:F58"/>
    <mergeCell ref="A59:B59"/>
    <mergeCell ref="A61:B61"/>
  </mergeCells>
  <conditionalFormatting sqref="A52:H54">
    <cfRule type="containsText" dxfId="1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63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Planilha18">
    <tabColor theme="8" tint="-0.249977111117893"/>
    <pageSetUpPr fitToPage="1"/>
  </sheetPr>
  <dimension ref="A1:BT45"/>
  <sheetViews>
    <sheetView showGridLines="0" zoomScale="60" zoomScaleNormal="60" zoomScaleSheetLayoutView="100" workbookViewId="0">
      <selection activeCell="BH49" sqref="BH49"/>
    </sheetView>
  </sheetViews>
  <sheetFormatPr defaultColWidth="9.140625" defaultRowHeight="15.75"/>
  <cols>
    <col min="1" max="1" width="13.42578125" style="152" customWidth="1"/>
    <col min="2" max="2" width="4.28515625" style="152" customWidth="1"/>
    <col min="3" max="3" width="28.85546875" style="152" customWidth="1"/>
    <col min="4" max="4" width="15.140625" style="152" customWidth="1"/>
    <col min="5" max="5" width="12.7109375" style="152" customWidth="1"/>
    <col min="6" max="18" width="2.7109375" style="152" customWidth="1"/>
    <col min="19" max="60" width="2.7109375" customWidth="1"/>
    <col min="61" max="66" width="2.7109375" hidden="1" customWidth="1"/>
    <col min="67" max="72" width="2.7109375" customWidth="1"/>
  </cols>
  <sheetData>
    <row r="1" spans="1:72" ht="18" customHeight="1">
      <c r="A1" s="462" t="s">
        <v>169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462"/>
      <c r="AK1" s="462"/>
      <c r="AL1" s="462"/>
      <c r="AM1" s="462"/>
      <c r="AN1" s="462"/>
      <c r="AO1" s="462"/>
      <c r="AP1" s="462"/>
      <c r="AQ1" s="462"/>
      <c r="AR1" s="462"/>
      <c r="AS1" s="462"/>
      <c r="AT1" s="462"/>
      <c r="AU1" s="462"/>
      <c r="AV1" s="462"/>
      <c r="AW1" s="462"/>
      <c r="AX1" s="462"/>
      <c r="AY1" s="462"/>
      <c r="AZ1" s="462"/>
      <c r="BA1" s="462"/>
      <c r="BB1" s="462"/>
      <c r="BC1" s="462"/>
      <c r="BD1" s="462"/>
      <c r="BE1" s="462"/>
      <c r="BF1" s="462"/>
      <c r="BG1" s="462"/>
      <c r="BH1" s="462"/>
      <c r="BI1" s="462"/>
      <c r="BJ1" s="462"/>
      <c r="BK1" s="462"/>
      <c r="BL1" s="462"/>
      <c r="BM1" s="462"/>
      <c r="BN1" s="462"/>
      <c r="BO1" s="462"/>
      <c r="BP1" s="462"/>
      <c r="BQ1" s="462"/>
      <c r="BR1" s="462"/>
      <c r="BS1" s="462"/>
      <c r="BT1" s="462"/>
    </row>
    <row r="2" spans="1:72" ht="18" customHeight="1">
      <c r="A2" s="462"/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K2" s="462"/>
      <c r="AL2" s="462"/>
      <c r="AM2" s="462"/>
      <c r="AN2" s="462"/>
      <c r="AO2" s="462"/>
      <c r="AP2" s="462"/>
      <c r="AQ2" s="462"/>
      <c r="AR2" s="462"/>
      <c r="AS2" s="462"/>
      <c r="AT2" s="462"/>
      <c r="AU2" s="462"/>
      <c r="AV2" s="462"/>
      <c r="AW2" s="462"/>
      <c r="AX2" s="462"/>
      <c r="AY2" s="462"/>
      <c r="AZ2" s="462"/>
      <c r="BA2" s="462"/>
      <c r="BB2" s="462"/>
      <c r="BC2" s="462"/>
      <c r="BD2" s="462"/>
      <c r="BE2" s="462"/>
      <c r="BF2" s="462"/>
      <c r="BG2" s="462"/>
      <c r="BH2" s="462"/>
      <c r="BI2" s="462"/>
      <c r="BJ2" s="462"/>
      <c r="BK2" s="462"/>
      <c r="BL2" s="462"/>
      <c r="BM2" s="462"/>
      <c r="BN2" s="462"/>
      <c r="BO2" s="462"/>
      <c r="BP2" s="462"/>
      <c r="BQ2" s="462"/>
      <c r="BR2" s="462"/>
      <c r="BS2" s="462"/>
      <c r="BT2" s="462"/>
    </row>
    <row r="3" spans="1:72" ht="1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2"/>
      <c r="N3" s="72"/>
      <c r="O3" s="72"/>
      <c r="P3" s="72"/>
      <c r="Q3" s="72"/>
      <c r="R3" s="72"/>
    </row>
    <row r="4" spans="1:72" ht="18" customHeight="1">
      <c r="A4" s="77" t="s">
        <v>265</v>
      </c>
      <c r="B4" s="77"/>
      <c r="C4" s="80"/>
      <c r="D4" s="53"/>
      <c r="E4" s="78"/>
      <c r="F4" s="78"/>
      <c r="G4" s="78"/>
      <c r="H4" s="78"/>
      <c r="I4" s="78"/>
      <c r="J4" s="78"/>
      <c r="AY4" s="467" t="s">
        <v>133</v>
      </c>
      <c r="AZ4" s="467"/>
      <c r="BA4" s="467"/>
      <c r="BB4" s="467"/>
      <c r="BC4" s="468" t="str">
        <f>Município!H4</f>
        <v>Inserir data na capa</v>
      </c>
      <c r="BD4" s="468"/>
      <c r="BE4" s="468"/>
      <c r="BF4" s="468"/>
      <c r="BG4" s="468"/>
      <c r="BH4" s="468"/>
    </row>
    <row r="5" spans="1:72" ht="18" customHeight="1">
      <c r="A5" s="77" t="s">
        <v>134</v>
      </c>
      <c r="B5" s="77"/>
      <c r="C5" s="80" t="str">
        <f>Município!B5</f>
        <v>CBH DOCE</v>
      </c>
      <c r="D5" s="53"/>
      <c r="E5" s="78"/>
      <c r="F5" s="78"/>
      <c r="G5" s="78"/>
      <c r="H5" s="78"/>
      <c r="I5" s="78"/>
      <c r="J5" s="78"/>
      <c r="K5" s="53"/>
      <c r="L5" s="53"/>
      <c r="M5" s="72"/>
      <c r="N5" s="72"/>
      <c r="O5" s="72"/>
      <c r="P5" s="53"/>
      <c r="Q5" s="53"/>
      <c r="R5" s="53"/>
    </row>
    <row r="6" spans="1:72" ht="18" customHeight="1">
      <c r="A6" s="77" t="s">
        <v>135</v>
      </c>
      <c r="B6" s="77"/>
      <c r="C6" s="80" t="str">
        <f>Capa!B30</f>
        <v>Resplendor/MG</v>
      </c>
      <c r="D6" s="53"/>
      <c r="E6" s="78"/>
      <c r="F6" s="78"/>
      <c r="G6" s="78"/>
      <c r="H6" s="78"/>
      <c r="I6" s="78"/>
      <c r="J6" s="78"/>
      <c r="K6" s="87"/>
      <c r="L6" s="88"/>
      <c r="M6" s="72"/>
      <c r="N6" s="72"/>
      <c r="O6" s="72"/>
      <c r="P6" s="72"/>
      <c r="Q6" s="53"/>
      <c r="R6" s="53"/>
    </row>
    <row r="7" spans="1:72" ht="15" customHeight="1">
      <c r="A7" s="53"/>
      <c r="B7" s="53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</row>
    <row r="8" spans="1:72" ht="19.5" customHeight="1">
      <c r="A8" s="474" t="s">
        <v>266</v>
      </c>
      <c r="B8" s="474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G8" s="474"/>
      <c r="AH8" s="474"/>
      <c r="AI8" s="474"/>
      <c r="AJ8" s="474"/>
      <c r="AK8" s="474"/>
      <c r="AL8" s="474"/>
      <c r="AM8" s="474"/>
      <c r="AN8" s="474"/>
      <c r="AO8" s="474"/>
      <c r="AP8" s="474"/>
      <c r="AQ8" s="474"/>
      <c r="AR8" s="474"/>
      <c r="AS8" s="474"/>
      <c r="AT8" s="474"/>
      <c r="AU8" s="474"/>
      <c r="AV8" s="474"/>
      <c r="AW8" s="474"/>
      <c r="AX8" s="474"/>
      <c r="AY8" s="474"/>
      <c r="AZ8" s="474"/>
      <c r="BA8" s="474"/>
      <c r="BB8" s="474"/>
      <c r="BC8" s="474"/>
      <c r="BD8" s="474"/>
      <c r="BE8" s="474"/>
      <c r="BF8" s="474"/>
      <c r="BG8" s="474"/>
      <c r="BH8" s="474"/>
      <c r="BI8" s="474"/>
      <c r="BJ8" s="474"/>
      <c r="BK8" s="474"/>
      <c r="BL8" s="474"/>
      <c r="BM8" s="474"/>
      <c r="BN8" s="474"/>
      <c r="BO8" s="474"/>
      <c r="BP8" s="474"/>
      <c r="BQ8" s="474"/>
      <c r="BR8" s="474"/>
      <c r="BS8" s="474"/>
      <c r="BT8" s="474"/>
    </row>
    <row r="9" spans="1:72" ht="19.5" customHeight="1">
      <c r="A9" s="472" t="s">
        <v>267</v>
      </c>
      <c r="B9" s="471" t="s">
        <v>171</v>
      </c>
      <c r="C9" s="473"/>
      <c r="D9" s="478" t="s">
        <v>268</v>
      </c>
      <c r="E9" s="476" t="s">
        <v>269</v>
      </c>
      <c r="F9" s="469" t="s">
        <v>174</v>
      </c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  <c r="AA9" s="470"/>
      <c r="AB9" s="470"/>
      <c r="AC9" s="470"/>
      <c r="AD9" s="470"/>
      <c r="AE9" s="470"/>
      <c r="AF9" s="470"/>
      <c r="AG9" s="470"/>
      <c r="AH9" s="470"/>
      <c r="AI9" s="470"/>
      <c r="AJ9" s="470"/>
      <c r="AK9" s="470"/>
      <c r="AL9" s="470"/>
      <c r="AM9" s="470"/>
      <c r="AN9" s="470"/>
      <c r="AO9" s="470"/>
      <c r="AP9" s="470"/>
      <c r="AQ9" s="470"/>
      <c r="AR9" s="470"/>
      <c r="AS9" s="470"/>
      <c r="AT9" s="470"/>
      <c r="AU9" s="470"/>
      <c r="AV9" s="470"/>
      <c r="AW9" s="470"/>
      <c r="AX9" s="470"/>
      <c r="AY9" s="470"/>
      <c r="AZ9" s="470"/>
      <c r="BA9" s="470"/>
      <c r="BB9" s="470"/>
      <c r="BC9" s="470"/>
      <c r="BD9" s="470"/>
      <c r="BE9" s="470"/>
      <c r="BF9" s="470"/>
      <c r="BG9" s="470"/>
      <c r="BH9" s="470"/>
      <c r="BI9" s="330"/>
      <c r="BJ9" s="330"/>
      <c r="BK9" s="330"/>
      <c r="BL9" s="330"/>
      <c r="BM9" s="330"/>
      <c r="BN9" s="330"/>
      <c r="BO9" s="332"/>
      <c r="BP9" s="332"/>
      <c r="BQ9" s="332"/>
      <c r="BR9" s="332"/>
      <c r="BS9" s="332"/>
      <c r="BT9" s="332"/>
    </row>
    <row r="10" spans="1:72" ht="19.5" customHeight="1">
      <c r="A10" s="472"/>
      <c r="B10" s="471"/>
      <c r="C10" s="473"/>
      <c r="D10" s="478"/>
      <c r="E10" s="469"/>
      <c r="F10" s="262" t="s">
        <v>202</v>
      </c>
      <c r="G10" s="471">
        <v>1</v>
      </c>
      <c r="H10" s="472"/>
      <c r="I10" s="472"/>
      <c r="J10" s="472"/>
      <c r="K10" s="472"/>
      <c r="L10" s="473"/>
      <c r="M10" s="471">
        <v>2</v>
      </c>
      <c r="N10" s="472"/>
      <c r="O10" s="472"/>
      <c r="P10" s="472"/>
      <c r="Q10" s="472"/>
      <c r="R10" s="473"/>
      <c r="S10" s="471">
        <v>3</v>
      </c>
      <c r="T10" s="472"/>
      <c r="U10" s="472"/>
      <c r="V10" s="472"/>
      <c r="W10" s="472"/>
      <c r="X10" s="473"/>
      <c r="Y10" s="471">
        <v>4</v>
      </c>
      <c r="Z10" s="472"/>
      <c r="AA10" s="472"/>
      <c r="AB10" s="472"/>
      <c r="AC10" s="472"/>
      <c r="AD10" s="473"/>
      <c r="AE10" s="471">
        <v>5</v>
      </c>
      <c r="AF10" s="472"/>
      <c r="AG10" s="472"/>
      <c r="AH10" s="472"/>
      <c r="AI10" s="472"/>
      <c r="AJ10" s="473"/>
      <c r="AK10" s="471">
        <v>6</v>
      </c>
      <c r="AL10" s="472"/>
      <c r="AM10" s="472"/>
      <c r="AN10" s="472"/>
      <c r="AO10" s="472"/>
      <c r="AP10" s="473"/>
      <c r="AQ10" s="471">
        <v>7</v>
      </c>
      <c r="AR10" s="472"/>
      <c r="AS10" s="472"/>
      <c r="AT10" s="472"/>
      <c r="AU10" s="472"/>
      <c r="AV10" s="473"/>
      <c r="AW10" s="471">
        <v>8</v>
      </c>
      <c r="AX10" s="472"/>
      <c r="AY10" s="472"/>
      <c r="AZ10" s="472"/>
      <c r="BA10" s="472"/>
      <c r="BB10" s="473"/>
      <c r="BC10" s="471">
        <v>9</v>
      </c>
      <c r="BD10" s="472"/>
      <c r="BE10" s="472"/>
      <c r="BF10" s="472"/>
      <c r="BG10" s="472"/>
      <c r="BH10" s="473"/>
      <c r="BI10" s="471">
        <v>10</v>
      </c>
      <c r="BJ10" s="472"/>
      <c r="BK10" s="472"/>
      <c r="BL10" s="472"/>
      <c r="BM10" s="472"/>
      <c r="BN10" s="473"/>
      <c r="BO10" s="471">
        <v>10</v>
      </c>
      <c r="BP10" s="472"/>
      <c r="BQ10" s="472"/>
      <c r="BR10" s="472"/>
      <c r="BS10" s="472"/>
      <c r="BT10" s="473"/>
    </row>
    <row r="11" spans="1:72" ht="27" customHeight="1">
      <c r="A11" s="475"/>
      <c r="B11" s="476"/>
      <c r="C11" s="477"/>
      <c r="D11" s="269" t="s">
        <v>237</v>
      </c>
      <c r="E11" s="269" t="s">
        <v>158</v>
      </c>
      <c r="F11" s="186" t="s">
        <v>202</v>
      </c>
      <c r="G11" s="326">
        <v>5</v>
      </c>
      <c r="H11" s="326">
        <v>10</v>
      </c>
      <c r="I11" s="326">
        <v>15</v>
      </c>
      <c r="J11" s="326">
        <v>20</v>
      </c>
      <c r="K11" s="326">
        <v>25</v>
      </c>
      <c r="L11" s="326">
        <v>30</v>
      </c>
      <c r="M11" s="326">
        <v>35</v>
      </c>
      <c r="N11" s="326">
        <v>40</v>
      </c>
      <c r="O11" s="326">
        <v>45</v>
      </c>
      <c r="P11" s="326">
        <v>50</v>
      </c>
      <c r="Q11" s="326">
        <v>55</v>
      </c>
      <c r="R11" s="326">
        <v>60</v>
      </c>
      <c r="S11" s="326">
        <v>65</v>
      </c>
      <c r="T11" s="326">
        <v>70</v>
      </c>
      <c r="U11" s="326">
        <v>75</v>
      </c>
      <c r="V11" s="326">
        <v>80</v>
      </c>
      <c r="W11" s="326">
        <v>85</v>
      </c>
      <c r="X11" s="326">
        <v>90</v>
      </c>
      <c r="Y11" s="326">
        <v>95</v>
      </c>
      <c r="Z11" s="326">
        <v>100</v>
      </c>
      <c r="AA11" s="326">
        <v>105</v>
      </c>
      <c r="AB11" s="326">
        <v>110</v>
      </c>
      <c r="AC11" s="326">
        <v>115</v>
      </c>
      <c r="AD11" s="326">
        <v>120</v>
      </c>
      <c r="AE11" s="326">
        <v>125</v>
      </c>
      <c r="AF11" s="326">
        <v>130</v>
      </c>
      <c r="AG11" s="326">
        <v>135</v>
      </c>
      <c r="AH11" s="326">
        <v>140</v>
      </c>
      <c r="AI11" s="326">
        <v>145</v>
      </c>
      <c r="AJ11" s="326">
        <v>150</v>
      </c>
      <c r="AK11" s="326">
        <v>155</v>
      </c>
      <c r="AL11" s="326">
        <v>160</v>
      </c>
      <c r="AM11" s="326">
        <v>165</v>
      </c>
      <c r="AN11" s="326">
        <v>170</v>
      </c>
      <c r="AO11" s="326">
        <v>175</v>
      </c>
      <c r="AP11" s="326">
        <v>180</v>
      </c>
      <c r="AQ11" s="326">
        <v>185</v>
      </c>
      <c r="AR11" s="326">
        <v>190</v>
      </c>
      <c r="AS11" s="326">
        <v>195</v>
      </c>
      <c r="AT11" s="326">
        <v>200</v>
      </c>
      <c r="AU11" s="326">
        <v>205</v>
      </c>
      <c r="AV11" s="326">
        <v>210</v>
      </c>
      <c r="AW11" s="326">
        <v>215</v>
      </c>
      <c r="AX11" s="326">
        <v>220</v>
      </c>
      <c r="AY11" s="326">
        <v>225</v>
      </c>
      <c r="AZ11" s="326">
        <v>230</v>
      </c>
      <c r="BA11" s="326">
        <v>235</v>
      </c>
      <c r="BB11" s="326">
        <v>240</v>
      </c>
      <c r="BC11" s="326">
        <v>245</v>
      </c>
      <c r="BD11" s="326">
        <v>250</v>
      </c>
      <c r="BE11" s="326">
        <v>255</v>
      </c>
      <c r="BF11" s="326">
        <v>260</v>
      </c>
      <c r="BG11" s="326">
        <v>265</v>
      </c>
      <c r="BH11" s="326">
        <v>270</v>
      </c>
      <c r="BI11" s="326">
        <v>275</v>
      </c>
      <c r="BJ11" s="326">
        <v>280</v>
      </c>
      <c r="BK11" s="326">
        <v>285</v>
      </c>
      <c r="BL11" s="326">
        <v>290</v>
      </c>
      <c r="BM11" s="326">
        <v>295</v>
      </c>
      <c r="BN11" s="326">
        <v>300</v>
      </c>
      <c r="BO11" s="326">
        <v>305</v>
      </c>
      <c r="BP11" s="326">
        <v>310</v>
      </c>
      <c r="BQ11" s="326">
        <v>315</v>
      </c>
      <c r="BR11" s="326">
        <v>320</v>
      </c>
      <c r="BS11" s="326">
        <v>325</v>
      </c>
      <c r="BT11" s="326">
        <v>330</v>
      </c>
    </row>
    <row r="12" spans="1:72" ht="3" customHeight="1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</row>
    <row r="13" spans="1:72" ht="22.5" customHeight="1">
      <c r="A13" s="188">
        <v>1</v>
      </c>
      <c r="B13" s="189" t="str">
        <f>'P1'!C2</f>
        <v>Plano de Trabalho</v>
      </c>
      <c r="C13" s="183"/>
      <c r="D13" s="190" t="e">
        <f>ROUND('P1'!G50,2)</f>
        <v>#VALUE!</v>
      </c>
      <c r="E13" s="191" t="e">
        <f>D13/$D$32</f>
        <v>#VALUE!</v>
      </c>
      <c r="F13" s="192"/>
      <c r="G13" s="195"/>
      <c r="H13" s="195"/>
      <c r="I13" s="179"/>
      <c r="J13" s="272"/>
      <c r="K13" s="200"/>
      <c r="L13" s="202"/>
      <c r="M13" s="202"/>
      <c r="N13" s="202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</row>
    <row r="14" spans="1:72" ht="6.6" customHeight="1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</row>
    <row r="15" spans="1:72" ht="22.5" customHeight="1">
      <c r="A15" s="188">
        <v>2</v>
      </c>
      <c r="B15" s="189" t="str">
        <f>'P2'!C2</f>
        <v>Estudos Topográficos</v>
      </c>
      <c r="C15" s="183"/>
      <c r="D15" s="194" t="e">
        <f>ROUND('P2'!G50,2)</f>
        <v>#VALUE!</v>
      </c>
      <c r="E15" s="191" t="e">
        <f>D15/$D$32</f>
        <v>#VALUE!</v>
      </c>
      <c r="F15" s="193"/>
      <c r="G15" s="178"/>
      <c r="H15" s="178"/>
      <c r="I15" s="178"/>
      <c r="J15" s="178"/>
      <c r="K15" s="178"/>
      <c r="L15" s="178"/>
      <c r="M15" s="178"/>
      <c r="N15" s="178"/>
      <c r="O15" s="178"/>
      <c r="P15" s="179"/>
      <c r="Q15" s="179"/>
      <c r="R15" s="179"/>
      <c r="S15" s="272"/>
      <c r="T15" s="272"/>
      <c r="U15" s="272"/>
      <c r="V15" s="200"/>
      <c r="W15" s="200"/>
      <c r="X15" s="200"/>
      <c r="Y15" s="200"/>
      <c r="Z15" s="197"/>
      <c r="AA15" s="197"/>
      <c r="AB15" s="197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</row>
    <row r="16" spans="1:72" ht="7.5" customHeight="1"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BI16" s="193"/>
      <c r="BJ16" s="193"/>
      <c r="BK16" s="193"/>
      <c r="BL16" s="193"/>
      <c r="BM16" s="193"/>
      <c r="BN16" s="193"/>
    </row>
    <row r="17" spans="1:72" ht="22.5" customHeight="1">
      <c r="A17" s="188">
        <v>3</v>
      </c>
      <c r="B17" s="189" t="str">
        <f>'P3'!C2</f>
        <v>Cadastro Técnico</v>
      </c>
      <c r="C17" s="183"/>
      <c r="D17" s="190" t="e">
        <f>ROUND('P3'!G50,2)</f>
        <v>#VALUE!</v>
      </c>
      <c r="E17" s="191" t="e">
        <f>D17/$D$32</f>
        <v>#VALUE!</v>
      </c>
      <c r="F17" s="193"/>
      <c r="G17" s="178"/>
      <c r="H17" s="178"/>
      <c r="I17" s="178"/>
      <c r="J17" s="178"/>
      <c r="K17" s="178"/>
      <c r="L17" s="178"/>
      <c r="M17" s="178"/>
      <c r="N17" s="178"/>
      <c r="O17" s="178"/>
      <c r="P17" s="179"/>
      <c r="Q17" s="179"/>
      <c r="R17" s="179"/>
      <c r="S17" s="272"/>
      <c r="T17" s="272"/>
      <c r="U17" s="272"/>
      <c r="V17" s="200"/>
      <c r="W17" s="200"/>
      <c r="X17" s="200"/>
      <c r="Y17" s="200"/>
      <c r="Z17" s="197"/>
      <c r="AA17" s="197"/>
      <c r="AB17" s="197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</row>
    <row r="18" spans="1:72" ht="6.6" customHeight="1">
      <c r="A18" s="187"/>
      <c r="B18" s="187"/>
      <c r="C18" s="187"/>
      <c r="D18" s="196"/>
      <c r="E18" s="211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</row>
    <row r="19" spans="1:72" ht="22.5" customHeight="1">
      <c r="A19" s="188">
        <v>4</v>
      </c>
      <c r="B19" s="189" t="str">
        <f>'P4'!C2</f>
        <v>Estudo de Concepção</v>
      </c>
      <c r="C19" s="183"/>
      <c r="D19" s="190" t="e">
        <f>ROUND('P4'!G50,2)</f>
        <v>#VALUE!</v>
      </c>
      <c r="E19" s="191" t="e">
        <f>D19/$D$32</f>
        <v>#VALUE!</v>
      </c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9"/>
      <c r="AA19" s="179"/>
      <c r="AB19" s="179"/>
      <c r="AC19" s="272"/>
      <c r="AD19" s="272"/>
      <c r="AE19" s="272"/>
      <c r="AF19" s="200"/>
      <c r="AG19" s="200"/>
      <c r="AH19" s="200"/>
      <c r="AI19" s="197"/>
      <c r="AJ19" s="197"/>
      <c r="AK19" s="197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</row>
    <row r="20" spans="1:72" ht="6.6" customHeight="1">
      <c r="A20" s="187"/>
      <c r="B20" s="187"/>
      <c r="C20" s="187"/>
      <c r="D20" s="196"/>
      <c r="E20" s="211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BI20" s="193"/>
      <c r="BJ20" s="193"/>
      <c r="BK20" s="193"/>
      <c r="BL20" s="193"/>
      <c r="BM20" s="193"/>
      <c r="BN20" s="193"/>
    </row>
    <row r="21" spans="1:72" ht="22.5" customHeight="1">
      <c r="A21" s="188">
        <v>5</v>
      </c>
      <c r="B21" s="189" t="str">
        <f>'P5'!C2</f>
        <v>Projeto Básico</v>
      </c>
      <c r="C21" s="183"/>
      <c r="D21" s="194" t="e">
        <f>ROUND('P5'!G50,2)</f>
        <v>#VALUE!</v>
      </c>
      <c r="E21" s="191" t="e">
        <f>D21/$D$32</f>
        <v>#VALUE!</v>
      </c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9"/>
      <c r="AM21" s="179"/>
      <c r="AN21" s="179"/>
      <c r="AO21" s="272"/>
      <c r="AP21" s="272"/>
      <c r="AQ21" s="272"/>
      <c r="AR21" s="200"/>
      <c r="AS21" s="200"/>
      <c r="AT21" s="200"/>
      <c r="AU21" s="197"/>
      <c r="AV21" s="197"/>
      <c r="AW21" s="197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</row>
    <row r="22" spans="1:72" ht="6.6" customHeight="1">
      <c r="A22" s="187"/>
      <c r="B22" s="187"/>
      <c r="C22" s="187"/>
      <c r="D22" s="196"/>
      <c r="E22" s="211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BI22" s="193"/>
      <c r="BJ22" s="193"/>
      <c r="BK22" s="193"/>
      <c r="BL22" s="193"/>
      <c r="BM22" s="193"/>
      <c r="BN22" s="193"/>
    </row>
    <row r="23" spans="1:72" ht="22.5" customHeight="1">
      <c r="A23" s="188">
        <v>6</v>
      </c>
      <c r="B23" s="189" t="str">
        <f>'P6'!C2</f>
        <v>Estudos Geotécnicos</v>
      </c>
      <c r="C23" s="183"/>
      <c r="D23" s="194" t="e">
        <f>ROUND('P6'!G50,2)</f>
        <v>#VALUE!</v>
      </c>
      <c r="E23" s="191" t="e">
        <f>D23/$D$32</f>
        <v>#VALUE!</v>
      </c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78"/>
      <c r="AA23" s="178"/>
      <c r="AB23" s="178"/>
      <c r="AC23" s="178"/>
      <c r="AD23" s="178"/>
      <c r="AE23" s="178"/>
      <c r="AF23" s="178"/>
      <c r="AG23" s="178"/>
      <c r="AH23" s="178"/>
      <c r="AI23" s="179"/>
      <c r="AJ23" s="179"/>
      <c r="AK23" s="179"/>
      <c r="AL23" s="272"/>
      <c r="AM23" s="272"/>
      <c r="AN23" s="272"/>
      <c r="AO23" s="200"/>
      <c r="AP23" s="200"/>
      <c r="AQ23" s="200"/>
      <c r="AR23" s="197"/>
      <c r="AS23" s="197"/>
      <c r="AT23" s="197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</row>
    <row r="24" spans="1:72" ht="6.6" customHeight="1">
      <c r="A24" s="187"/>
      <c r="B24" s="187"/>
      <c r="C24" s="187"/>
      <c r="D24" s="196"/>
      <c r="E24" s="211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BI24" s="193"/>
      <c r="BJ24" s="193"/>
      <c r="BK24" s="193"/>
      <c r="BL24" s="193"/>
      <c r="BM24" s="193"/>
      <c r="BN24" s="193"/>
    </row>
    <row r="25" spans="1:72" ht="22.5" customHeight="1">
      <c r="A25" s="188">
        <v>7</v>
      </c>
      <c r="B25" s="189" t="str">
        <f>P7a!C2</f>
        <v>Estudo Ambiental - Parte 1</v>
      </c>
      <c r="C25" s="183"/>
      <c r="D25" s="194" t="e">
        <f>ROUND(P7a!G50,2)</f>
        <v>#VALUE!</v>
      </c>
      <c r="E25" s="191" t="e">
        <f>D25/$D$32</f>
        <v>#VALUE!</v>
      </c>
      <c r="F25" s="193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9"/>
      <c r="AA25" s="179"/>
      <c r="AB25" s="179"/>
      <c r="AC25" s="272"/>
      <c r="AD25" s="272"/>
      <c r="AE25" s="272"/>
      <c r="AF25" s="200"/>
      <c r="AG25" s="200"/>
      <c r="AH25" s="200"/>
      <c r="AI25" s="197"/>
      <c r="AJ25" s="197"/>
      <c r="AK25" s="197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</row>
    <row r="26" spans="1:72" ht="6.6" customHeight="1">
      <c r="A26" s="187"/>
      <c r="B26" s="187"/>
      <c r="C26" s="187"/>
      <c r="D26" s="196"/>
      <c r="E26" s="211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BI26" s="193"/>
      <c r="BJ26" s="193"/>
      <c r="BK26" s="193"/>
      <c r="BL26" s="193"/>
      <c r="BM26" s="193"/>
      <c r="BN26" s="193"/>
    </row>
    <row r="27" spans="1:72" ht="22.5" customHeight="1">
      <c r="A27" s="188">
        <v>7</v>
      </c>
      <c r="B27" s="189" t="str">
        <f>P7b!C2</f>
        <v>Estudo Ambiental - Parte 2</v>
      </c>
      <c r="C27" s="183"/>
      <c r="D27" s="194" t="e">
        <f>ROUND(P7b!G50,2)</f>
        <v>#VALUE!</v>
      </c>
      <c r="E27" s="191" t="e">
        <f>D27/$D$32</f>
        <v>#VALUE!</v>
      </c>
      <c r="F27" s="193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9"/>
      <c r="AM27" s="179"/>
      <c r="AN27" s="179"/>
      <c r="AO27" s="272"/>
      <c r="AP27" s="272"/>
      <c r="AQ27" s="272"/>
      <c r="AR27" s="200"/>
      <c r="AS27" s="200"/>
      <c r="AT27" s="200"/>
      <c r="AU27" s="197"/>
      <c r="AV27" s="197"/>
      <c r="AW27" s="197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</row>
    <row r="28" spans="1:72" ht="6.6" customHeight="1">
      <c r="A28" s="187"/>
      <c r="B28" s="187"/>
      <c r="C28" s="187"/>
      <c r="D28" s="196"/>
      <c r="E28" s="211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BI28" s="193"/>
    </row>
    <row r="29" spans="1:72" ht="22.5" customHeight="1">
      <c r="A29" s="188">
        <v>8</v>
      </c>
      <c r="B29" s="189" t="str">
        <f>'P8'!C2</f>
        <v>Projeto Executivo</v>
      </c>
      <c r="C29" s="183"/>
      <c r="D29" s="190" t="e">
        <f>ROUND('P8'!G50,2)</f>
        <v>#VALUE!</v>
      </c>
      <c r="E29" s="191" t="e">
        <f>D29/$D$32</f>
        <v>#VALUE!</v>
      </c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9"/>
      <c r="AX29" s="179"/>
      <c r="AY29" s="179"/>
      <c r="AZ29" s="272"/>
      <c r="BA29" s="272"/>
      <c r="BB29" s="272"/>
      <c r="BC29" s="200"/>
      <c r="BD29" s="200"/>
      <c r="BE29" s="200"/>
      <c r="BF29" s="197"/>
      <c r="BG29" s="197"/>
      <c r="BH29" s="197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</row>
    <row r="30" spans="1:72" ht="22.5" customHeight="1">
      <c r="A30" s="188" t="s">
        <v>202</v>
      </c>
      <c r="B30" s="189" t="s">
        <v>279</v>
      </c>
      <c r="C30" s="183"/>
      <c r="D30" s="190" t="s">
        <v>202</v>
      </c>
      <c r="E30" s="191" t="s">
        <v>202</v>
      </c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334"/>
      <c r="BP30" s="334"/>
      <c r="BQ30" s="334"/>
      <c r="BR30" s="334"/>
      <c r="BS30" s="334"/>
      <c r="BT30" s="334"/>
    </row>
    <row r="31" spans="1:72" ht="6.6" customHeight="1">
      <c r="A31" s="187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</row>
    <row r="32" spans="1:72" ht="22.15" customHeight="1">
      <c r="A32" s="474" t="s">
        <v>105</v>
      </c>
      <c r="B32" s="474"/>
      <c r="C32" s="474"/>
      <c r="D32" s="260" t="e">
        <f>SUM(D13:D31)</f>
        <v>#VALUE!</v>
      </c>
      <c r="E32" s="261" t="e">
        <f>ROUND(SUM(E13:E31),2)</f>
        <v>#VALUE!</v>
      </c>
      <c r="F32" s="261"/>
      <c r="G32" s="474"/>
      <c r="H32" s="474"/>
      <c r="I32" s="474"/>
      <c r="J32" s="474"/>
      <c r="K32" s="474"/>
      <c r="L32" s="474"/>
      <c r="M32" s="474"/>
      <c r="N32" s="474"/>
      <c r="O32" s="474"/>
      <c r="P32" s="474"/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474"/>
      <c r="AG32" s="474"/>
      <c r="AH32" s="474"/>
      <c r="AI32" s="474"/>
      <c r="AJ32" s="474"/>
      <c r="AK32" s="474"/>
      <c r="AL32" s="474"/>
      <c r="AM32" s="474"/>
      <c r="AN32" s="474"/>
      <c r="AO32" s="474"/>
      <c r="AP32" s="474"/>
      <c r="AQ32" s="474"/>
      <c r="AR32" s="474"/>
      <c r="AS32" s="474"/>
      <c r="AT32" s="474"/>
      <c r="AU32" s="474"/>
      <c r="AV32" s="474"/>
      <c r="AW32" s="474"/>
      <c r="AX32" s="474"/>
      <c r="AY32" s="474"/>
      <c r="AZ32" s="474"/>
      <c r="BA32" s="474"/>
      <c r="BB32" s="474"/>
      <c r="BC32" s="474"/>
      <c r="BD32" s="474"/>
      <c r="BE32" s="474"/>
      <c r="BF32" s="474"/>
      <c r="BG32" s="474"/>
      <c r="BH32" s="474"/>
      <c r="BI32" s="329"/>
      <c r="BJ32" s="329"/>
      <c r="BK32" s="329"/>
      <c r="BL32" s="329"/>
      <c r="BM32" s="329"/>
      <c r="BN32" s="329"/>
      <c r="BO32" s="329"/>
      <c r="BP32" s="329"/>
      <c r="BQ32" s="329"/>
      <c r="BR32" s="329"/>
      <c r="BS32" s="329"/>
      <c r="BT32" s="329"/>
    </row>
    <row r="33" spans="1:71" ht="7.1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71" s="42" customFormat="1" ht="22.15" customHeight="1">
      <c r="A34" s="56" t="s">
        <v>143</v>
      </c>
      <c r="B34" s="76"/>
      <c r="C34" s="76"/>
      <c r="D34" s="155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X34"/>
    </row>
    <row r="35" spans="1:71" ht="22.5" customHeight="1">
      <c r="A35" s="153"/>
      <c r="B35" s="198"/>
      <c r="C35" s="76" t="s">
        <v>270</v>
      </c>
      <c r="D35" s="155"/>
      <c r="E35" s="76"/>
      <c r="G35" s="200"/>
      <c r="H35" s="200"/>
      <c r="I35" s="76" t="s">
        <v>273</v>
      </c>
      <c r="AE35" s="466" t="s">
        <v>286</v>
      </c>
      <c r="AF35" s="466"/>
      <c r="AG35" s="466"/>
      <c r="AH35" s="466"/>
      <c r="AI35" s="466"/>
      <c r="AJ35" s="466"/>
      <c r="AK35" s="466"/>
      <c r="AL35" s="466"/>
      <c r="AM35" s="466"/>
      <c r="AN35" s="466"/>
      <c r="AO35" s="466"/>
      <c r="AP35" s="466"/>
      <c r="AQ35" s="466"/>
      <c r="AR35" s="466"/>
      <c r="AS35" s="466"/>
      <c r="AT35" s="466"/>
      <c r="AU35" s="466"/>
      <c r="AV35" s="466"/>
      <c r="AW35" s="466"/>
      <c r="AX35" s="466"/>
      <c r="AY35" s="466"/>
      <c r="AZ35" s="466"/>
      <c r="BA35" s="466"/>
      <c r="BB35" s="466"/>
      <c r="BC35" s="466"/>
      <c r="BD35" s="466"/>
      <c r="BE35" s="466"/>
      <c r="BF35" s="466"/>
      <c r="BG35" s="466"/>
      <c r="BH35" s="466"/>
      <c r="BI35" s="466"/>
      <c r="BJ35" s="466"/>
      <c r="BK35" s="466"/>
      <c r="BL35" s="466"/>
      <c r="BM35" s="466"/>
      <c r="BN35" s="466"/>
      <c r="BO35" s="466"/>
      <c r="BP35" s="466"/>
      <c r="BQ35" s="466"/>
      <c r="BR35" s="466"/>
      <c r="BS35" s="466"/>
    </row>
    <row r="36" spans="1:71" ht="22.5" customHeight="1">
      <c r="A36" s="76"/>
      <c r="B36" s="199"/>
      <c r="C36" s="76" t="s">
        <v>272</v>
      </c>
      <c r="D36" s="155"/>
      <c r="E36" s="76"/>
      <c r="G36" s="202"/>
      <c r="H36" s="202"/>
      <c r="I36" s="76" t="s">
        <v>275</v>
      </c>
      <c r="AE36" s="466" t="s">
        <v>287</v>
      </c>
      <c r="AF36" s="466"/>
      <c r="AG36" s="466"/>
      <c r="AH36" s="466"/>
      <c r="AI36" s="466"/>
      <c r="AJ36" s="466"/>
      <c r="AK36" s="466"/>
      <c r="AL36" s="466"/>
      <c r="AM36" s="466"/>
      <c r="AN36" s="466"/>
      <c r="AO36" s="466"/>
      <c r="AP36" s="466"/>
      <c r="AQ36" s="466"/>
      <c r="AR36" s="466"/>
      <c r="AS36" s="466"/>
      <c r="AT36" s="466"/>
      <c r="AU36" s="466"/>
      <c r="AV36" s="466"/>
      <c r="AW36" s="466"/>
      <c r="AX36" s="466"/>
      <c r="AY36" s="466"/>
      <c r="AZ36" s="466"/>
      <c r="BA36" s="466"/>
      <c r="BB36" s="466"/>
      <c r="BC36" s="466"/>
      <c r="BD36" s="466"/>
      <c r="BE36" s="466"/>
      <c r="BF36" s="466"/>
      <c r="BG36" s="466"/>
      <c r="BH36" s="466"/>
      <c r="BI36" s="466"/>
      <c r="BJ36" s="466"/>
      <c r="BK36" s="466"/>
      <c r="BL36" s="466"/>
      <c r="BM36" s="466"/>
      <c r="BN36" s="466"/>
      <c r="BO36" s="466"/>
      <c r="BP36" s="466"/>
      <c r="BQ36" s="466"/>
      <c r="BR36" s="466"/>
      <c r="BS36" s="466"/>
    </row>
    <row r="37" spans="1:71" ht="22.5" customHeight="1">
      <c r="A37" s="76"/>
      <c r="B37" s="201"/>
      <c r="C37" s="76" t="s">
        <v>274</v>
      </c>
      <c r="D37" s="155"/>
      <c r="E37" s="76"/>
      <c r="G37" s="333"/>
      <c r="H37" s="333"/>
      <c r="I37" s="76" t="s">
        <v>280</v>
      </c>
      <c r="AE37" s="466" t="s">
        <v>288</v>
      </c>
      <c r="AF37" s="466"/>
      <c r="AG37" s="466"/>
      <c r="AH37" s="466"/>
      <c r="AI37" s="466"/>
      <c r="AJ37" s="466"/>
      <c r="AK37" s="466"/>
      <c r="AL37" s="466"/>
      <c r="AM37" s="466"/>
      <c r="AN37" s="466"/>
      <c r="AO37" s="466"/>
      <c r="AP37" s="466"/>
      <c r="AQ37" s="466"/>
      <c r="AR37" s="466"/>
      <c r="AS37" s="466"/>
      <c r="AT37" s="466"/>
      <c r="AU37" s="466"/>
      <c r="AV37" s="466"/>
      <c r="AW37" s="466"/>
      <c r="AX37" s="466"/>
      <c r="AY37" s="466"/>
      <c r="AZ37" s="466"/>
      <c r="BA37" s="466"/>
      <c r="BB37" s="466"/>
      <c r="BC37" s="466"/>
      <c r="BD37" s="466"/>
      <c r="BE37" s="466"/>
      <c r="BF37" s="466"/>
      <c r="BG37" s="466"/>
      <c r="BH37" s="466"/>
      <c r="BI37" s="466"/>
      <c r="BJ37" s="466"/>
      <c r="BK37" s="466"/>
      <c r="BL37" s="466"/>
      <c r="BM37" s="466"/>
      <c r="BN37" s="466"/>
      <c r="BO37" s="466"/>
      <c r="BP37" s="466"/>
      <c r="BQ37" s="466"/>
      <c r="BR37" s="466"/>
      <c r="BS37" s="466"/>
    </row>
    <row r="38" spans="1:71" ht="22.5" customHeight="1">
      <c r="B38" s="272"/>
      <c r="C38" s="155" t="s">
        <v>271</v>
      </c>
      <c r="D38" s="155"/>
      <c r="E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71" ht="22.15" customHeight="1">
      <c r="A39" s="76"/>
      <c r="B39" s="76"/>
      <c r="C39" s="76"/>
      <c r="D39" s="155"/>
      <c r="E39" s="76"/>
      <c r="F39" s="153"/>
      <c r="G39" s="153"/>
      <c r="H39" s="76"/>
      <c r="I39" s="76"/>
      <c r="J39" s="76"/>
      <c r="K39" s="76"/>
      <c r="L39" s="76"/>
      <c r="M39" s="53"/>
      <c r="N39" s="53"/>
      <c r="O39" s="53"/>
      <c r="P39" s="53"/>
      <c r="Q39" s="53"/>
      <c r="R39" s="53"/>
    </row>
    <row r="40" spans="1:71">
      <c r="A40" s="327"/>
      <c r="B40" s="327"/>
      <c r="C40" s="328"/>
      <c r="D40" s="328"/>
      <c r="E40" s="327"/>
      <c r="F40" s="328"/>
      <c r="G40" s="328"/>
      <c r="H40" s="328"/>
      <c r="K40" s="328"/>
      <c r="L40" s="328"/>
      <c r="P40" s="328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</row>
    <row r="41" spans="1:71">
      <c r="C41" s="78"/>
      <c r="L41" s="257"/>
    </row>
    <row r="42" spans="1:71">
      <c r="L42" s="396"/>
      <c r="M42" s="396"/>
      <c r="N42" s="396"/>
      <c r="O42" s="396"/>
      <c r="P42" s="396"/>
      <c r="Q42" s="396"/>
      <c r="R42" s="396"/>
      <c r="S42" s="396"/>
      <c r="T42" s="396"/>
    </row>
    <row r="43" spans="1:71">
      <c r="L43" s="117"/>
      <c r="M43" s="117"/>
      <c r="N43" s="117"/>
      <c r="O43" s="117"/>
      <c r="P43" s="117"/>
      <c r="Q43" s="117"/>
      <c r="R43" s="117"/>
      <c r="S43" s="117"/>
      <c r="T43" s="117"/>
    </row>
    <row r="44" spans="1:71">
      <c r="G44" s="78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</row>
    <row r="45" spans="1:7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</row>
  </sheetData>
  <sheetProtection algorithmName="SHA-512" hashValue="VaHvamNPhAm0AOZbpXIWqJMc/Cvdzikw26TkLIw7qnwAwe0hRBtlpirwNWwePTLDtIpLsPTFdBUW7yhvmmszRA==" saltValue="idaLaArA/R0wFoh5mVEh1w==" spinCount="100000" sheet="1" objects="1" scenarios="1"/>
  <mergeCells count="26">
    <mergeCell ref="D9:D10"/>
    <mergeCell ref="E9:E10"/>
    <mergeCell ref="A32:C32"/>
    <mergeCell ref="G32:BH32"/>
    <mergeCell ref="BO10:BT10"/>
    <mergeCell ref="BI10:BN10"/>
    <mergeCell ref="AE10:AJ10"/>
    <mergeCell ref="AK10:AP10"/>
    <mergeCell ref="AQ10:AV10"/>
    <mergeCell ref="AW10:BB10"/>
    <mergeCell ref="AE35:BS35"/>
    <mergeCell ref="AE36:BS36"/>
    <mergeCell ref="AE37:BS37"/>
    <mergeCell ref="A1:BT2"/>
    <mergeCell ref="AY4:BB4"/>
    <mergeCell ref="BC4:BH4"/>
    <mergeCell ref="F9:BH9"/>
    <mergeCell ref="BC10:BH10"/>
    <mergeCell ref="G10:L10"/>
    <mergeCell ref="M10:R10"/>
    <mergeCell ref="S10:X10"/>
    <mergeCell ref="Y10:AD10"/>
    <mergeCell ref="A8:BT8"/>
    <mergeCell ref="C7:R7"/>
    <mergeCell ref="A9:A11"/>
    <mergeCell ref="B9:C11"/>
  </mergeCells>
  <conditionalFormatting sqref="AE35:BS37">
    <cfRule type="containsText" dxfId="0" priority="1" operator="containsText" text="Inserir">
      <formula>NOT(ISERROR(SEARCH("Inserir",AE35)))</formula>
    </cfRule>
  </conditionalFormatting>
  <printOptions horizontalCentered="1"/>
  <pageMargins left="0.51181102362204722" right="0.51181102362204722" top="0.43307086614173229" bottom="0.78740157480314965" header="0.31496062992125984" footer="0.31496062992125984"/>
  <pageSetup paperSize="9" scale="61" orientation="landscape" horizontalDpi="4294967294" verticalDpi="4294967294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Planilha19">
    <tabColor theme="8" tint="-0.249977111117893"/>
    <pageSetUpPr fitToPage="1"/>
  </sheetPr>
  <dimension ref="A1:L18"/>
  <sheetViews>
    <sheetView showGridLines="0" view="pageBreakPreview" zoomScale="60" zoomScaleNormal="80" workbookViewId="0">
      <selection activeCell="I47" sqref="I47"/>
    </sheetView>
  </sheetViews>
  <sheetFormatPr defaultColWidth="9.140625" defaultRowHeight="15.75"/>
  <cols>
    <col min="1" max="1" width="11.42578125" style="85" customWidth="1"/>
    <col min="2" max="2" width="42.140625" style="151" customWidth="1"/>
    <col min="3" max="3" width="28.140625" style="151" customWidth="1"/>
    <col min="4" max="4" width="14.140625" style="151" bestFit="1" customWidth="1"/>
    <col min="5" max="5" width="14.28515625" style="85" bestFit="1" customWidth="1"/>
    <col min="6" max="6" width="15.7109375" customWidth="1"/>
    <col min="7" max="7" width="9.140625" customWidth="1"/>
    <col min="8" max="8" width="11.140625" customWidth="1"/>
    <col min="9" max="10" width="9.140625" customWidth="1"/>
    <col min="11" max="11" width="19.7109375" customWidth="1"/>
    <col min="12" max="12" width="20.140625" customWidth="1"/>
    <col min="13" max="15" width="19" style="85" customWidth="1"/>
    <col min="16" max="16384" width="9.140625" style="85"/>
  </cols>
  <sheetData>
    <row r="1" spans="1:12" ht="32.450000000000003" customHeight="1">
      <c r="B1" s="479" t="s">
        <v>169</v>
      </c>
      <c r="C1" s="480"/>
      <c r="D1" s="480"/>
      <c r="E1" s="480"/>
    </row>
    <row r="2" spans="1:12">
      <c r="A2" s="60"/>
      <c r="B2" s="181"/>
      <c r="C2" s="181"/>
      <c r="D2" s="181"/>
      <c r="E2" s="60"/>
    </row>
    <row r="3" spans="1:12" ht="22.5" customHeight="1">
      <c r="A3" s="59" t="s">
        <v>276</v>
      </c>
      <c r="B3" s="64"/>
      <c r="D3" s="62" t="s">
        <v>133</v>
      </c>
      <c r="E3" s="84" t="str">
        <f>Município!H4</f>
        <v>Inserir data na capa</v>
      </c>
    </row>
    <row r="4" spans="1:12" ht="22.5" customHeight="1">
      <c r="A4" s="59" t="s">
        <v>134</v>
      </c>
      <c r="B4" s="64" t="str">
        <f>Município!B5</f>
        <v>CBH DOCE</v>
      </c>
      <c r="C4" s="64"/>
      <c r="D4" s="64"/>
      <c r="E4" s="60"/>
    </row>
    <row r="5" spans="1:12" ht="22.5" customHeight="1">
      <c r="A5" s="59" t="s">
        <v>135</v>
      </c>
      <c r="B5" s="64" t="str">
        <f>Município!B6</f>
        <v>Resplendor/MG</v>
      </c>
      <c r="C5" s="64"/>
      <c r="D5" s="64"/>
      <c r="E5" s="60"/>
    </row>
    <row r="7" spans="1:12" s="147" customFormat="1" ht="33.6" customHeight="1">
      <c r="A7" s="481" t="s">
        <v>238</v>
      </c>
      <c r="B7" s="481"/>
      <c r="C7" s="481"/>
      <c r="D7" s="280" t="s">
        <v>277</v>
      </c>
      <c r="E7" s="281" t="s">
        <v>173</v>
      </c>
      <c r="F7"/>
      <c r="G7"/>
      <c r="H7"/>
      <c r="I7"/>
      <c r="J7"/>
      <c r="K7"/>
      <c r="L7"/>
    </row>
    <row r="8" spans="1:12" ht="22.5" customHeight="1">
      <c r="A8" s="177" t="s">
        <v>247</v>
      </c>
      <c r="B8" s="182" t="str">
        <f>Cronograma!B13</f>
        <v>Plano de Trabalho</v>
      </c>
      <c r="C8" s="184"/>
      <c r="D8" s="266" t="e">
        <f>E8/$E$17</f>
        <v>#VALUE!</v>
      </c>
      <c r="E8" s="263" t="e">
        <f>Cronograma!D13</f>
        <v>#VALUE!</v>
      </c>
    </row>
    <row r="9" spans="1:12" ht="22.5" customHeight="1">
      <c r="A9" s="177" t="s">
        <v>257</v>
      </c>
      <c r="B9" s="182" t="str">
        <f>Cronograma!B15</f>
        <v>Estudos Topográficos</v>
      </c>
      <c r="C9" s="184"/>
      <c r="D9" s="266" t="e">
        <f>E9/$E$17</f>
        <v>#VALUE!</v>
      </c>
      <c r="E9" s="263" t="e">
        <f>Cronograma!D15</f>
        <v>#VALUE!</v>
      </c>
    </row>
    <row r="10" spans="1:12" ht="22.5" customHeight="1">
      <c r="A10" s="177" t="s">
        <v>258</v>
      </c>
      <c r="B10" s="182" t="str">
        <f>Cronograma!B17</f>
        <v>Cadastro Técnico</v>
      </c>
      <c r="C10" s="184"/>
      <c r="D10" s="266" t="e">
        <f t="shared" ref="D10:D16" si="0">E10/$E$17</f>
        <v>#VALUE!</v>
      </c>
      <c r="E10" s="263" t="e">
        <f>Cronograma!D17</f>
        <v>#VALUE!</v>
      </c>
    </row>
    <row r="11" spans="1:12" ht="22.5" customHeight="1">
      <c r="A11" s="177" t="s">
        <v>259</v>
      </c>
      <c r="B11" s="182" t="str">
        <f>Cronograma!B19</f>
        <v>Estudo de Concepção</v>
      </c>
      <c r="C11" s="184"/>
      <c r="D11" s="266" t="e">
        <f t="shared" ref="D11" si="1">E11/$E$17</f>
        <v>#VALUE!</v>
      </c>
      <c r="E11" s="263" t="e">
        <f>Cronograma!D19</f>
        <v>#VALUE!</v>
      </c>
    </row>
    <row r="12" spans="1:12" ht="22.5" customHeight="1">
      <c r="A12" s="177" t="s">
        <v>260</v>
      </c>
      <c r="B12" s="182" t="str">
        <f>Cronograma!B21</f>
        <v>Projeto Básico</v>
      </c>
      <c r="C12" s="184"/>
      <c r="D12" s="266" t="e">
        <f t="shared" si="0"/>
        <v>#VALUE!</v>
      </c>
      <c r="E12" s="263" t="e">
        <f>Cronograma!D21</f>
        <v>#VALUE!</v>
      </c>
    </row>
    <row r="13" spans="1:12" ht="22.5" customHeight="1">
      <c r="A13" s="177" t="s">
        <v>261</v>
      </c>
      <c r="B13" s="182" t="str">
        <f>Cronograma!B23</f>
        <v>Estudos Geotécnicos</v>
      </c>
      <c r="C13" s="184"/>
      <c r="D13" s="266" t="e">
        <f t="shared" si="0"/>
        <v>#VALUE!</v>
      </c>
      <c r="E13" s="263" t="e">
        <f>Cronograma!D23</f>
        <v>#VALUE!</v>
      </c>
    </row>
    <row r="14" spans="1:12" ht="22.5" customHeight="1">
      <c r="A14" s="177" t="s">
        <v>262</v>
      </c>
      <c r="B14" s="182" t="str">
        <f>Cronograma!B25</f>
        <v>Estudo Ambiental - Parte 1</v>
      </c>
      <c r="C14" s="184"/>
      <c r="D14" s="266" t="e">
        <f t="shared" si="0"/>
        <v>#VALUE!</v>
      </c>
      <c r="E14" s="263" t="e">
        <f>Cronograma!D25</f>
        <v>#VALUE!</v>
      </c>
    </row>
    <row r="15" spans="1:12" ht="22.5" customHeight="1">
      <c r="A15" s="177" t="s">
        <v>262</v>
      </c>
      <c r="B15" s="182" t="str">
        <f>Cronograma!B27</f>
        <v>Estudo Ambiental - Parte 2</v>
      </c>
      <c r="C15" s="184"/>
      <c r="D15" s="266" t="e">
        <f t="shared" si="0"/>
        <v>#VALUE!</v>
      </c>
      <c r="E15" s="263" t="e">
        <f>Cronograma!D27</f>
        <v>#VALUE!</v>
      </c>
    </row>
    <row r="16" spans="1:12" ht="22.5" customHeight="1">
      <c r="A16" s="177" t="s">
        <v>263</v>
      </c>
      <c r="B16" s="182" t="str">
        <f>Cronograma!B29</f>
        <v>Projeto Executivo</v>
      </c>
      <c r="C16" s="185"/>
      <c r="D16" s="267" t="e">
        <f t="shared" si="0"/>
        <v>#VALUE!</v>
      </c>
      <c r="E16" s="263" t="e">
        <f>Cronograma!D29</f>
        <v>#VALUE!</v>
      </c>
    </row>
    <row r="17" spans="1:5" ht="22.5" customHeight="1">
      <c r="A17" s="482"/>
      <c r="B17" s="482"/>
      <c r="C17" s="282" t="s">
        <v>245</v>
      </c>
      <c r="D17" s="283" t="e">
        <f>SUM(D8:D16)</f>
        <v>#VALUE!</v>
      </c>
      <c r="E17" s="284" t="e">
        <f>SUM(E8:E16)</f>
        <v>#VALUE!</v>
      </c>
    </row>
    <row r="18" spans="1:5" ht="8.25" customHeight="1"/>
  </sheetData>
  <sheetProtection algorithmName="SHA-512" hashValue="vjFUxv9Aw5m3PPlOzwI/Bmd8DUaB+64QS6x1HoScua3YeKNpkOyBoJU2GliVbeiaWw4v8ULdRYBvUye82JDSUQ==" saltValue="c0/FDXlprJaLiUzvloSwlA==" spinCount="100000" sheet="1" objects="1" scenarios="1"/>
  <mergeCells count="3">
    <mergeCell ref="B1:E1"/>
    <mergeCell ref="A7:C7"/>
    <mergeCell ref="A17:B1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P82"/>
  <sheetViews>
    <sheetView view="pageBreakPreview" topLeftCell="A61" zoomScaleSheetLayoutView="100" workbookViewId="0">
      <selection activeCell="E90" sqref="E90"/>
    </sheetView>
  </sheetViews>
  <sheetFormatPr defaultRowHeight="12.75"/>
  <cols>
    <col min="1" max="1" width="6.42578125" customWidth="1"/>
    <col min="2" max="2" width="56.85546875" customWidth="1"/>
    <col min="3" max="3" width="10.140625" customWidth="1"/>
    <col min="4" max="4" width="5" customWidth="1"/>
    <col min="5" max="5" width="6.7109375" customWidth="1"/>
    <col min="6" max="6" width="11.85546875" bestFit="1" customWidth="1"/>
    <col min="7" max="7" width="15.42578125" customWidth="1"/>
    <col min="9" max="9" width="7.7109375" style="28" customWidth="1"/>
    <col min="10" max="10" width="8.7109375" style="28" customWidth="1"/>
    <col min="11" max="11" width="7" style="28" bestFit="1" customWidth="1"/>
    <col min="12" max="12" width="9.140625" style="42"/>
    <col min="13" max="13" width="7.85546875" style="42" bestFit="1" customWidth="1"/>
    <col min="14" max="14" width="11.140625" bestFit="1" customWidth="1"/>
    <col min="15" max="16" width="9.28515625" bestFit="1" customWidth="1"/>
  </cols>
  <sheetData>
    <row r="1" spans="1:7">
      <c r="A1" s="415"/>
      <c r="B1" s="415"/>
      <c r="C1" s="415"/>
      <c r="D1" s="415"/>
      <c r="E1" s="415"/>
      <c r="F1" s="415"/>
      <c r="G1" s="415"/>
    </row>
    <row r="2" spans="1:7">
      <c r="A2" s="415"/>
      <c r="B2" s="415"/>
      <c r="C2" s="415"/>
      <c r="D2" s="415"/>
      <c r="E2" s="415"/>
      <c r="F2" s="415"/>
      <c r="G2" s="415"/>
    </row>
    <row r="3" spans="1:7">
      <c r="A3" s="415"/>
      <c r="B3" s="415"/>
      <c r="C3" s="415"/>
      <c r="D3" s="415"/>
      <c r="E3" s="415"/>
      <c r="F3" s="415"/>
      <c r="G3" s="415"/>
    </row>
    <row r="4" spans="1:7">
      <c r="A4" s="415"/>
      <c r="B4" s="415"/>
      <c r="C4" s="415"/>
      <c r="D4" s="415"/>
      <c r="E4" s="415"/>
      <c r="F4" s="415"/>
      <c r="G4" s="415"/>
    </row>
    <row r="5" spans="1:7">
      <c r="A5" s="415"/>
      <c r="B5" s="415"/>
      <c r="C5" s="415"/>
      <c r="D5" s="415"/>
      <c r="E5" s="415"/>
      <c r="F5" s="415"/>
      <c r="G5" s="415"/>
    </row>
    <row r="6" spans="1:7">
      <c r="A6" s="415"/>
      <c r="B6" s="415"/>
      <c r="C6" s="415"/>
      <c r="D6" s="415"/>
      <c r="E6" s="415"/>
      <c r="F6" s="415"/>
      <c r="G6" s="415"/>
    </row>
    <row r="7" spans="1:7">
      <c r="A7" s="415"/>
      <c r="B7" s="415"/>
      <c r="C7" s="415"/>
      <c r="D7" s="415"/>
      <c r="E7" s="415"/>
      <c r="F7" s="415"/>
      <c r="G7" s="415"/>
    </row>
    <row r="8" spans="1:7">
      <c r="A8" s="415"/>
      <c r="B8" s="415"/>
      <c r="C8" s="415"/>
      <c r="D8" s="415"/>
      <c r="E8" s="415"/>
      <c r="F8" s="415"/>
      <c r="G8" s="415"/>
    </row>
    <row r="9" spans="1:7">
      <c r="A9" s="415"/>
      <c r="B9" s="415"/>
      <c r="C9" s="415"/>
      <c r="D9" s="415"/>
      <c r="E9" s="415"/>
      <c r="F9" s="415"/>
      <c r="G9" s="415"/>
    </row>
    <row r="10" spans="1:7">
      <c r="A10" s="416" t="s">
        <v>2</v>
      </c>
      <c r="B10" s="416"/>
      <c r="C10" s="416"/>
      <c r="D10" s="416"/>
      <c r="E10" s="416"/>
      <c r="F10" s="416"/>
      <c r="G10" s="416"/>
    </row>
    <row r="11" spans="1:7">
      <c r="A11" s="416" t="s">
        <v>3</v>
      </c>
      <c r="B11" s="416"/>
      <c r="C11" s="416"/>
      <c r="D11" s="416"/>
      <c r="E11" s="416"/>
      <c r="F11" s="416"/>
      <c r="G11" s="416"/>
    </row>
    <row r="12" spans="1:7">
      <c r="A12" s="35"/>
      <c r="B12" s="35"/>
      <c r="C12" s="35"/>
      <c r="D12" s="35"/>
      <c r="E12" s="35"/>
      <c r="F12" s="35"/>
      <c r="G12" s="35"/>
    </row>
    <row r="13" spans="1:7">
      <c r="A13" s="35"/>
      <c r="B13" s="416" t="s">
        <v>4</v>
      </c>
      <c r="C13" s="416"/>
      <c r="D13" s="416"/>
      <c r="E13" s="416"/>
      <c r="F13" s="416"/>
      <c r="G13" s="51" t="s">
        <v>5</v>
      </c>
    </row>
    <row r="14" spans="1:7" ht="21.75" customHeight="1" thickBot="1">
      <c r="A14" s="417" t="s">
        <v>6</v>
      </c>
      <c r="B14" s="417"/>
      <c r="C14" s="417"/>
      <c r="D14" s="417"/>
      <c r="E14" s="417"/>
      <c r="F14" s="417"/>
      <c r="G14" s="417"/>
    </row>
    <row r="15" spans="1:7">
      <c r="A15" s="425" t="s">
        <v>7</v>
      </c>
      <c r="B15" s="425" t="s">
        <v>8</v>
      </c>
      <c r="C15" s="425" t="s">
        <v>9</v>
      </c>
      <c r="D15" s="425" t="s">
        <v>10</v>
      </c>
      <c r="E15" s="425" t="s">
        <v>11</v>
      </c>
      <c r="F15" s="36" t="s">
        <v>12</v>
      </c>
      <c r="G15" s="418" t="s">
        <v>13</v>
      </c>
    </row>
    <row r="16" spans="1:7" ht="13.5" thickBot="1">
      <c r="A16" s="426"/>
      <c r="B16" s="426"/>
      <c r="C16" s="426"/>
      <c r="D16" s="426"/>
      <c r="E16" s="426"/>
      <c r="F16" s="19" t="s">
        <v>14</v>
      </c>
      <c r="G16" s="419"/>
    </row>
    <row r="17" spans="1:16">
      <c r="A17" s="12">
        <v>0</v>
      </c>
      <c r="B17" s="424" t="s">
        <v>15</v>
      </c>
      <c r="C17" s="424"/>
      <c r="D17" s="424"/>
      <c r="E17" s="13"/>
      <c r="F17" s="13"/>
      <c r="G17" s="14" t="e">
        <f>SUM(G18:G20)</f>
        <v>#REF!</v>
      </c>
      <c r="I17" s="304" t="s">
        <v>16</v>
      </c>
      <c r="J17" s="304" t="s">
        <v>17</v>
      </c>
      <c r="K17" s="304" t="s">
        <v>18</v>
      </c>
    </row>
    <row r="18" spans="1:16" ht="24" customHeight="1">
      <c r="A18" s="5" t="s">
        <v>19</v>
      </c>
      <c r="B18" s="6" t="e">
        <f>IF(C18="","",VLOOKUP(C18,#REF!,2,FALSE))</f>
        <v>#REF!</v>
      </c>
      <c r="C18" s="7" t="s">
        <v>20</v>
      </c>
      <c r="D18" s="8" t="s">
        <v>21</v>
      </c>
      <c r="E18" s="9">
        <f>I18*J18*K18</f>
        <v>240</v>
      </c>
      <c r="F18" s="10" t="e">
        <f>IF(C18="","",VLOOKUP(C18,#REF!,2,FALSE))</f>
        <v>#REF!</v>
      </c>
      <c r="G18" s="11" t="e">
        <f>E18*F18</f>
        <v>#REF!</v>
      </c>
      <c r="I18" s="28">
        <v>40</v>
      </c>
      <c r="J18" s="28">
        <v>6</v>
      </c>
      <c r="K18" s="28">
        <v>1</v>
      </c>
    </row>
    <row r="19" spans="1:16">
      <c r="A19" s="5" t="s">
        <v>22</v>
      </c>
      <c r="B19" s="6" t="e">
        <f>IF(C19="","",VLOOKUP(C19,#REF!,2,FALSE))</f>
        <v>#REF!</v>
      </c>
      <c r="C19" s="7" t="s">
        <v>23</v>
      </c>
      <c r="D19" s="8" t="s">
        <v>21</v>
      </c>
      <c r="E19" s="9">
        <f>I19*J19*K19</f>
        <v>960</v>
      </c>
      <c r="F19" s="10" t="e">
        <f>IF(C19="","",VLOOKUP(C19,#REF!,2,FALSE))</f>
        <v>#REF!</v>
      </c>
      <c r="G19" s="11" t="e">
        <f>E19*F19</f>
        <v>#REF!</v>
      </c>
      <c r="I19" s="28">
        <v>160</v>
      </c>
      <c r="J19" s="28">
        <v>6</v>
      </c>
      <c r="K19" s="28">
        <v>1</v>
      </c>
    </row>
    <row r="20" spans="1:16">
      <c r="A20" s="5" t="s">
        <v>24</v>
      </c>
      <c r="B20" s="6" t="e">
        <f>IF(C20="","",VLOOKUP(C20,#REF!,2,FALSE))</f>
        <v>#REF!</v>
      </c>
      <c r="C20" s="7" t="s">
        <v>25</v>
      </c>
      <c r="D20" s="8" t="s">
        <v>21</v>
      </c>
      <c r="E20" s="9">
        <f>I20*J20*K20</f>
        <v>960</v>
      </c>
      <c r="F20" s="10" t="e">
        <f>IF(C20="","",VLOOKUP(C20,#REF!,2,FALSE))</f>
        <v>#REF!</v>
      </c>
      <c r="G20" s="11" t="e">
        <f>E20*F20</f>
        <v>#REF!</v>
      </c>
      <c r="I20" s="28">
        <v>160</v>
      </c>
      <c r="J20" s="28">
        <v>6</v>
      </c>
      <c r="K20" s="28">
        <v>1</v>
      </c>
    </row>
    <row r="21" spans="1:16">
      <c r="A21" s="16">
        <v>1</v>
      </c>
      <c r="B21" s="420" t="s">
        <v>26</v>
      </c>
      <c r="C21" s="420"/>
      <c r="D21" s="420"/>
      <c r="E21" s="17"/>
      <c r="F21" s="17"/>
      <c r="G21" s="18" t="e">
        <f>SUM(G22:G29)</f>
        <v>#REF!</v>
      </c>
      <c r="H21" s="305"/>
      <c r="I21" s="304"/>
      <c r="J21" s="304"/>
      <c r="K21" s="304"/>
      <c r="L21" s="42">
        <v>1</v>
      </c>
      <c r="M21" s="275" t="s">
        <v>27</v>
      </c>
      <c r="N21" s="305"/>
      <c r="O21" s="305"/>
      <c r="P21" s="305"/>
    </row>
    <row r="22" spans="1:16" ht="12.75" customHeight="1">
      <c r="A22" s="5" t="s">
        <v>28</v>
      </c>
      <c r="B22" s="6" t="s">
        <v>29</v>
      </c>
      <c r="C22" s="7"/>
      <c r="D22" s="8" t="s">
        <v>21</v>
      </c>
      <c r="E22" s="9">
        <f>I22*J22*K22</f>
        <v>40</v>
      </c>
      <c r="F22" s="10">
        <v>53.9</v>
      </c>
      <c r="G22" s="11">
        <f t="shared" ref="G22:G29" si="0">E22*F22</f>
        <v>2156</v>
      </c>
      <c r="H22" s="305"/>
      <c r="I22" s="28">
        <v>40</v>
      </c>
      <c r="J22" s="28">
        <v>1</v>
      </c>
      <c r="K22" s="28">
        <v>1</v>
      </c>
      <c r="L22" s="28"/>
      <c r="M22" s="28"/>
      <c r="N22" s="2">
        <v>3719.74</v>
      </c>
      <c r="O22" s="306">
        <f>N22/160</f>
        <v>23.248374999999999</v>
      </c>
      <c r="P22" s="306">
        <f>O22+O22*1.14</f>
        <v>49.751522499999993</v>
      </c>
    </row>
    <row r="23" spans="1:16">
      <c r="A23" s="5" t="s">
        <v>30</v>
      </c>
      <c r="B23" s="6" t="s">
        <v>31</v>
      </c>
      <c r="C23" s="7"/>
      <c r="D23" s="8" t="s">
        <v>21</v>
      </c>
      <c r="E23" s="9">
        <f t="shared" ref="E23:E29" si="1">I23*J23*K23</f>
        <v>160</v>
      </c>
      <c r="F23" s="10">
        <v>53.9</v>
      </c>
      <c r="G23" s="11">
        <f t="shared" si="0"/>
        <v>8624</v>
      </c>
      <c r="H23" s="305"/>
      <c r="I23" s="28">
        <v>160</v>
      </c>
      <c r="J23" s="28">
        <v>1</v>
      </c>
      <c r="K23" s="28">
        <v>1</v>
      </c>
      <c r="N23" s="306">
        <v>2076</v>
      </c>
      <c r="O23" s="306">
        <f>N23/160</f>
        <v>12.975</v>
      </c>
      <c r="P23" s="306">
        <f>O23+O23*1.14</f>
        <v>27.766500000000001</v>
      </c>
    </row>
    <row r="24" spans="1:16">
      <c r="A24" s="5" t="s">
        <v>32</v>
      </c>
      <c r="B24" s="6" t="s">
        <v>33</v>
      </c>
      <c r="C24" s="7"/>
      <c r="D24" s="8" t="s">
        <v>21</v>
      </c>
      <c r="E24" s="9">
        <f t="shared" si="1"/>
        <v>0</v>
      </c>
      <c r="F24" s="10">
        <v>53.9</v>
      </c>
      <c r="G24" s="11">
        <f t="shared" si="0"/>
        <v>0</v>
      </c>
      <c r="H24" s="305"/>
      <c r="I24" s="28">
        <v>160</v>
      </c>
      <c r="J24" s="28">
        <v>1</v>
      </c>
      <c r="K24" s="28">
        <v>0</v>
      </c>
      <c r="P24">
        <v>50</v>
      </c>
    </row>
    <row r="25" spans="1:16" ht="12.75" customHeight="1">
      <c r="A25" s="5" t="s">
        <v>34</v>
      </c>
      <c r="B25" s="6" t="e">
        <f>IF(C25="","",VLOOKUP(C25,#REF!,2,FALSE))</f>
        <v>#REF!</v>
      </c>
      <c r="C25" s="7" t="s">
        <v>35</v>
      </c>
      <c r="D25" s="8" t="s">
        <v>21</v>
      </c>
      <c r="E25" s="9">
        <f t="shared" si="1"/>
        <v>80</v>
      </c>
      <c r="F25" s="10" t="e">
        <f>IF(C25="","",VLOOKUP(C25,#REF!,2,FALSE))</f>
        <v>#REF!</v>
      </c>
      <c r="G25" s="11" t="e">
        <f t="shared" si="0"/>
        <v>#REF!</v>
      </c>
      <c r="H25" s="305"/>
      <c r="I25" s="28">
        <v>80</v>
      </c>
      <c r="J25" s="28">
        <v>1</v>
      </c>
      <c r="K25" s="304">
        <v>1</v>
      </c>
    </row>
    <row r="26" spans="1:16">
      <c r="A26" s="5" t="s">
        <v>36</v>
      </c>
      <c r="B26" s="6" t="e">
        <f>IF(C26="","",VLOOKUP(C26,#REF!,2,FALSE))</f>
        <v>#REF!</v>
      </c>
      <c r="C26" s="7" t="s">
        <v>37</v>
      </c>
      <c r="D26" s="8" t="s">
        <v>21</v>
      </c>
      <c r="E26" s="9">
        <f t="shared" si="1"/>
        <v>160</v>
      </c>
      <c r="F26" s="10" t="e">
        <f>IF(C26="","",VLOOKUP(C26,#REF!,2,FALSE))</f>
        <v>#REF!</v>
      </c>
      <c r="G26" s="11" t="e">
        <f t="shared" si="0"/>
        <v>#REF!</v>
      </c>
      <c r="H26" s="305"/>
      <c r="I26" s="28">
        <v>160</v>
      </c>
      <c r="J26" s="28">
        <v>1</v>
      </c>
      <c r="K26" s="304">
        <v>1</v>
      </c>
    </row>
    <row r="27" spans="1:16">
      <c r="A27" s="5" t="s">
        <v>38</v>
      </c>
      <c r="B27" s="6" t="e">
        <f>IF(C27="","",VLOOKUP(C27,#REF!,2,FALSE))</f>
        <v>#REF!</v>
      </c>
      <c r="C27" s="7" t="s">
        <v>39</v>
      </c>
      <c r="D27" s="8" t="s">
        <v>21</v>
      </c>
      <c r="E27" s="9">
        <f t="shared" si="1"/>
        <v>0</v>
      </c>
      <c r="F27" s="10" t="e">
        <f>IF(C27="","",VLOOKUP(C27,#REF!,2,FALSE))</f>
        <v>#REF!</v>
      </c>
      <c r="G27" s="11" t="e">
        <f t="shared" si="0"/>
        <v>#REF!</v>
      </c>
      <c r="H27" s="305"/>
      <c r="I27" s="28">
        <v>160</v>
      </c>
      <c r="J27" s="28">
        <v>1</v>
      </c>
      <c r="K27" s="304">
        <v>0</v>
      </c>
    </row>
    <row r="28" spans="1:16">
      <c r="A28" s="5" t="s">
        <v>40</v>
      </c>
      <c r="B28" s="6" t="e">
        <f>IF(C28="","",VLOOKUP(C28,#REF!,2,FALSE))</f>
        <v>#REF!</v>
      </c>
      <c r="C28" s="7" t="s">
        <v>41</v>
      </c>
      <c r="D28" s="8" t="s">
        <v>21</v>
      </c>
      <c r="E28" s="9">
        <f t="shared" si="1"/>
        <v>0</v>
      </c>
      <c r="F28" s="10" t="e">
        <f>IF(C28="","",VLOOKUP(C28,#REF!,2,FALSE))</f>
        <v>#REF!</v>
      </c>
      <c r="G28" s="11" t="e">
        <f t="shared" si="0"/>
        <v>#REF!</v>
      </c>
      <c r="H28" s="305"/>
      <c r="I28" s="28">
        <v>160</v>
      </c>
      <c r="J28" s="28">
        <v>1</v>
      </c>
      <c r="K28" s="304">
        <v>0</v>
      </c>
    </row>
    <row r="29" spans="1:16">
      <c r="A29" s="5" t="s">
        <v>42</v>
      </c>
      <c r="B29" s="6" t="e">
        <f>IF(C29="","",VLOOKUP(C29,#REF!,2,FALSE))</f>
        <v>#REF!</v>
      </c>
      <c r="C29" s="7" t="s">
        <v>43</v>
      </c>
      <c r="D29" s="8"/>
      <c r="E29" s="9">
        <f t="shared" si="1"/>
        <v>0</v>
      </c>
      <c r="F29" s="10" t="e">
        <f>IF(C29="","",VLOOKUP(C29,#REF!,2,FALSE))</f>
        <v>#REF!</v>
      </c>
      <c r="G29" s="11" t="e">
        <f t="shared" si="0"/>
        <v>#REF!</v>
      </c>
      <c r="H29" s="305"/>
      <c r="I29" s="28">
        <v>160</v>
      </c>
      <c r="J29" s="28">
        <v>1</v>
      </c>
      <c r="K29" s="304">
        <v>0</v>
      </c>
    </row>
    <row r="30" spans="1:16">
      <c r="A30" s="16">
        <v>2</v>
      </c>
      <c r="B30" s="420" t="s">
        <v>44</v>
      </c>
      <c r="C30" s="420"/>
      <c r="D30" s="420"/>
      <c r="E30" s="17"/>
      <c r="F30" s="17"/>
      <c r="G30" s="18" t="e">
        <f>SUM(G31:G39)</f>
        <v>#REF!</v>
      </c>
      <c r="H30" s="307"/>
      <c r="I30" s="304"/>
      <c r="J30" s="304"/>
      <c r="K30" s="304"/>
      <c r="L30" s="42">
        <v>1</v>
      </c>
      <c r="M30" s="275" t="s">
        <v>45</v>
      </c>
    </row>
    <row r="31" spans="1:16" ht="12" customHeight="1">
      <c r="A31" s="5" t="s">
        <v>46</v>
      </c>
      <c r="B31" s="6" t="s">
        <v>29</v>
      </c>
      <c r="C31" s="7"/>
      <c r="D31" s="8" t="s">
        <v>21</v>
      </c>
      <c r="E31" s="9">
        <f>I31*J31*K31</f>
        <v>40</v>
      </c>
      <c r="F31" s="10">
        <v>53.9</v>
      </c>
      <c r="G31" s="11">
        <f t="shared" ref="G31:G38" si="2">E31*F31</f>
        <v>2156</v>
      </c>
      <c r="H31" s="307"/>
      <c r="I31" s="28">
        <v>40</v>
      </c>
      <c r="J31" s="28">
        <v>1</v>
      </c>
      <c r="K31" s="28">
        <v>1</v>
      </c>
      <c r="L31" s="28"/>
      <c r="M31" s="28"/>
    </row>
    <row r="32" spans="1:16">
      <c r="A32" s="5" t="s">
        <v>47</v>
      </c>
      <c r="B32" s="6" t="s">
        <v>31</v>
      </c>
      <c r="C32" s="7"/>
      <c r="D32" s="8" t="s">
        <v>21</v>
      </c>
      <c r="E32" s="9">
        <f t="shared" ref="E32:E38" si="3">I32*J32*K32</f>
        <v>40</v>
      </c>
      <c r="F32" s="10">
        <v>53.9</v>
      </c>
      <c r="G32" s="11">
        <f t="shared" si="2"/>
        <v>2156</v>
      </c>
      <c r="H32" s="307"/>
      <c r="I32" s="28">
        <v>40</v>
      </c>
      <c r="J32" s="28">
        <v>1</v>
      </c>
      <c r="K32" s="28">
        <v>1</v>
      </c>
    </row>
    <row r="33" spans="1:13">
      <c r="A33" s="5" t="s">
        <v>48</v>
      </c>
      <c r="B33" s="6" t="s">
        <v>33</v>
      </c>
      <c r="C33" s="7"/>
      <c r="D33" s="8" t="s">
        <v>21</v>
      </c>
      <c r="E33" s="9">
        <f t="shared" si="3"/>
        <v>40</v>
      </c>
      <c r="F33" s="10">
        <v>53.9</v>
      </c>
      <c r="G33" s="11">
        <f t="shared" si="2"/>
        <v>2156</v>
      </c>
      <c r="H33" s="307"/>
      <c r="I33" s="28">
        <v>40</v>
      </c>
      <c r="J33" s="28">
        <v>1</v>
      </c>
      <c r="K33" s="28">
        <v>1</v>
      </c>
    </row>
    <row r="34" spans="1:13" ht="12.75" customHeight="1">
      <c r="A34" s="5" t="s">
        <v>49</v>
      </c>
      <c r="B34" s="6" t="e">
        <f>IF(C34="","",VLOOKUP(C34,#REF!,2,FALSE))</f>
        <v>#REF!</v>
      </c>
      <c r="C34" s="7" t="s">
        <v>35</v>
      </c>
      <c r="D34" s="8" t="s">
        <v>21</v>
      </c>
      <c r="E34" s="9">
        <f t="shared" si="3"/>
        <v>40</v>
      </c>
      <c r="F34" s="10" t="e">
        <f>IF(C34="","",VLOOKUP(C34,#REF!,2,FALSE))</f>
        <v>#REF!</v>
      </c>
      <c r="G34" s="11" t="e">
        <f t="shared" si="2"/>
        <v>#REF!</v>
      </c>
      <c r="H34" s="307"/>
      <c r="I34" s="28">
        <v>40</v>
      </c>
      <c r="J34" s="28">
        <v>1</v>
      </c>
      <c r="K34" s="28">
        <v>1</v>
      </c>
    </row>
    <row r="35" spans="1:13">
      <c r="A35" s="5" t="s">
        <v>50</v>
      </c>
      <c r="B35" s="6" t="e">
        <f>IF(C35="","",VLOOKUP(C35,#REF!,2,FALSE))</f>
        <v>#REF!</v>
      </c>
      <c r="C35" s="7" t="s">
        <v>37</v>
      </c>
      <c r="D35" s="8" t="s">
        <v>21</v>
      </c>
      <c r="E35" s="9">
        <f t="shared" si="3"/>
        <v>80</v>
      </c>
      <c r="F35" s="10" t="e">
        <f>IF(C35="","",VLOOKUP(C35,#REF!,2,FALSE))</f>
        <v>#REF!</v>
      </c>
      <c r="G35" s="11" t="e">
        <f t="shared" si="2"/>
        <v>#REF!</v>
      </c>
      <c r="H35" s="307"/>
      <c r="I35" s="28">
        <v>80</v>
      </c>
      <c r="J35" s="28">
        <v>1</v>
      </c>
      <c r="K35" s="28">
        <v>1</v>
      </c>
    </row>
    <row r="36" spans="1:13">
      <c r="A36" s="5" t="s">
        <v>51</v>
      </c>
      <c r="B36" s="6" t="e">
        <f>IF(C36="","",VLOOKUP(C36,#REF!,2,FALSE))</f>
        <v>#REF!</v>
      </c>
      <c r="C36" s="7" t="s">
        <v>39</v>
      </c>
      <c r="D36" s="8" t="s">
        <v>21</v>
      </c>
      <c r="E36" s="9">
        <f t="shared" si="3"/>
        <v>0</v>
      </c>
      <c r="F36" s="10" t="e">
        <f>IF(C36="","",VLOOKUP(C36,#REF!,2,FALSE))</f>
        <v>#REF!</v>
      </c>
      <c r="G36" s="11" t="e">
        <f t="shared" si="2"/>
        <v>#REF!</v>
      </c>
      <c r="H36" s="307"/>
      <c r="I36" s="28">
        <v>0</v>
      </c>
      <c r="J36" s="28">
        <v>1</v>
      </c>
      <c r="K36" s="28">
        <v>1</v>
      </c>
    </row>
    <row r="37" spans="1:13">
      <c r="A37" s="5" t="s">
        <v>52</v>
      </c>
      <c r="B37" s="6" t="e">
        <f>IF(C37="","",VLOOKUP(C37,#REF!,2,FALSE))</f>
        <v>#REF!</v>
      </c>
      <c r="C37" s="7" t="s">
        <v>41</v>
      </c>
      <c r="D37" s="8" t="s">
        <v>21</v>
      </c>
      <c r="E37" s="9">
        <f t="shared" si="3"/>
        <v>40</v>
      </c>
      <c r="F37" s="10" t="e">
        <f>IF(C37="","",VLOOKUP(C37,#REF!,2,FALSE))</f>
        <v>#REF!</v>
      </c>
      <c r="G37" s="11" t="e">
        <f t="shared" si="2"/>
        <v>#REF!</v>
      </c>
      <c r="H37" s="307"/>
      <c r="I37" s="28">
        <v>40</v>
      </c>
      <c r="J37" s="28">
        <v>1</v>
      </c>
      <c r="K37" s="28">
        <v>1</v>
      </c>
    </row>
    <row r="38" spans="1:13">
      <c r="A38" s="5" t="s">
        <v>53</v>
      </c>
      <c r="B38" s="6" t="e">
        <f>IF(C38="","",VLOOKUP(C38,#REF!,2,FALSE))</f>
        <v>#REF!</v>
      </c>
      <c r="C38" s="7" t="s">
        <v>43</v>
      </c>
      <c r="D38" s="8"/>
      <c r="E38" s="9">
        <f t="shared" si="3"/>
        <v>80</v>
      </c>
      <c r="F38" s="10" t="e">
        <f>IF(C38="","",VLOOKUP(C38,#REF!,2,FALSE))</f>
        <v>#REF!</v>
      </c>
      <c r="G38" s="11" t="e">
        <f t="shared" si="2"/>
        <v>#REF!</v>
      </c>
      <c r="H38" s="307"/>
      <c r="I38" s="28">
        <v>80</v>
      </c>
      <c r="J38" s="28">
        <v>1</v>
      </c>
      <c r="K38" s="28">
        <v>1</v>
      </c>
    </row>
    <row r="39" spans="1:13" ht="24" customHeight="1">
      <c r="A39" s="5" t="s">
        <v>54</v>
      </c>
      <c r="B39" s="6" t="e">
        <f>IF(C39="","",VLOOKUP(C39,#REF!,2,FALSE))</f>
        <v>#REF!</v>
      </c>
      <c r="C39" s="7" t="s">
        <v>55</v>
      </c>
      <c r="D39" s="8"/>
      <c r="E39" s="9">
        <f>I39*J39*K39</f>
        <v>40</v>
      </c>
      <c r="F39" s="10" t="e">
        <f>IF(C39="","",VLOOKUP(C39,#REF!,2,FALSE))</f>
        <v>#REF!</v>
      </c>
      <c r="G39" s="11" t="e">
        <f>E39*F39</f>
        <v>#REF!</v>
      </c>
      <c r="H39" s="307"/>
      <c r="I39" s="28">
        <v>40</v>
      </c>
      <c r="J39" s="28">
        <v>1</v>
      </c>
      <c r="K39" s="28">
        <v>1</v>
      </c>
    </row>
    <row r="40" spans="1:13" ht="24" customHeight="1">
      <c r="A40" s="16">
        <v>3</v>
      </c>
      <c r="B40" s="423" t="s">
        <v>56</v>
      </c>
      <c r="C40" s="423"/>
      <c r="D40" s="423"/>
      <c r="E40" s="423"/>
      <c r="F40" s="423"/>
      <c r="G40" s="18" t="e">
        <f>SUM(G41:G50)</f>
        <v>#REF!</v>
      </c>
      <c r="H40" s="307"/>
      <c r="I40" s="304"/>
      <c r="J40" s="304"/>
      <c r="K40" s="304"/>
      <c r="L40" s="42">
        <v>1</v>
      </c>
      <c r="M40" s="275" t="s">
        <v>57</v>
      </c>
    </row>
    <row r="41" spans="1:13">
      <c r="A41" s="5" t="s">
        <v>58</v>
      </c>
      <c r="B41" s="6" t="s">
        <v>29</v>
      </c>
      <c r="C41" s="7"/>
      <c r="D41" s="8" t="s">
        <v>21</v>
      </c>
      <c r="E41" s="9">
        <f>I41*J41*K41</f>
        <v>40</v>
      </c>
      <c r="F41" s="10">
        <v>53.9</v>
      </c>
      <c r="G41" s="11">
        <f t="shared" ref="G41:G50" si="4">E41*F41</f>
        <v>2156</v>
      </c>
      <c r="H41" s="307"/>
      <c r="I41" s="28">
        <v>40</v>
      </c>
      <c r="J41" s="28">
        <v>1</v>
      </c>
      <c r="K41" s="28">
        <v>1</v>
      </c>
      <c r="M41" s="28"/>
    </row>
    <row r="42" spans="1:13">
      <c r="A42" s="5" t="s">
        <v>59</v>
      </c>
      <c r="B42" s="6" t="s">
        <v>31</v>
      </c>
      <c r="C42" s="7"/>
      <c r="D42" s="8" t="s">
        <v>21</v>
      </c>
      <c r="E42" s="9">
        <f t="shared" ref="E42:E50" si="5">I42*J42*K42</f>
        <v>40</v>
      </c>
      <c r="F42" s="10">
        <v>53.9</v>
      </c>
      <c r="G42" s="11">
        <f t="shared" si="4"/>
        <v>2156</v>
      </c>
      <c r="H42" s="307"/>
      <c r="I42" s="28">
        <v>40</v>
      </c>
      <c r="J42" s="28">
        <v>1</v>
      </c>
      <c r="K42" s="28">
        <v>1</v>
      </c>
      <c r="M42" s="28"/>
    </row>
    <row r="43" spans="1:13">
      <c r="A43" s="5" t="s">
        <v>60</v>
      </c>
      <c r="B43" s="6" t="s">
        <v>33</v>
      </c>
      <c r="C43" s="7"/>
      <c r="D43" s="8" t="s">
        <v>21</v>
      </c>
      <c r="E43" s="9">
        <f t="shared" si="5"/>
        <v>40</v>
      </c>
      <c r="F43" s="10">
        <v>53.9</v>
      </c>
      <c r="G43" s="11">
        <f t="shared" si="4"/>
        <v>2156</v>
      </c>
      <c r="H43" s="307"/>
      <c r="I43" s="28">
        <v>40</v>
      </c>
      <c r="J43" s="28">
        <v>1</v>
      </c>
      <c r="K43" s="28">
        <v>1</v>
      </c>
      <c r="M43" s="28"/>
    </row>
    <row r="44" spans="1:13" ht="12.75" customHeight="1">
      <c r="A44" s="5" t="s">
        <v>61</v>
      </c>
      <c r="B44" s="6" t="e">
        <f>IF(C44="","",VLOOKUP(C44,#REF!,2,FALSE))</f>
        <v>#REF!</v>
      </c>
      <c r="C44" s="7" t="s">
        <v>35</v>
      </c>
      <c r="D44" s="8" t="s">
        <v>21</v>
      </c>
      <c r="E44" s="9">
        <f t="shared" si="5"/>
        <v>160</v>
      </c>
      <c r="F44" s="10" t="e">
        <f>IF(C44="","",VLOOKUP(C44,#REF!,2,FALSE))</f>
        <v>#REF!</v>
      </c>
      <c r="G44" s="11" t="e">
        <f t="shared" si="4"/>
        <v>#REF!</v>
      </c>
      <c r="H44" s="307"/>
      <c r="I44" s="28">
        <v>160</v>
      </c>
      <c r="J44" s="28">
        <v>1</v>
      </c>
      <c r="K44" s="28">
        <v>1</v>
      </c>
      <c r="M44" s="28"/>
    </row>
    <row r="45" spans="1:13">
      <c r="A45" s="5" t="s">
        <v>62</v>
      </c>
      <c r="B45" s="6" t="e">
        <f>IF(C45="","",VLOOKUP(C45,#REF!,2,FALSE))</f>
        <v>#REF!</v>
      </c>
      <c r="C45" s="7" t="s">
        <v>37</v>
      </c>
      <c r="D45" s="8" t="s">
        <v>21</v>
      </c>
      <c r="E45" s="9">
        <f t="shared" si="5"/>
        <v>320</v>
      </c>
      <c r="F45" s="10" t="e">
        <f>IF(C45="","",VLOOKUP(C45,#REF!,2,FALSE))</f>
        <v>#REF!</v>
      </c>
      <c r="G45" s="11" t="e">
        <f t="shared" si="4"/>
        <v>#REF!</v>
      </c>
      <c r="H45" s="307"/>
      <c r="I45" s="28">
        <v>160</v>
      </c>
      <c r="J45" s="28">
        <v>1</v>
      </c>
      <c r="K45" s="28">
        <v>2</v>
      </c>
      <c r="M45" s="28"/>
    </row>
    <row r="46" spans="1:13">
      <c r="A46" s="5" t="s">
        <v>63</v>
      </c>
      <c r="B46" s="6" t="e">
        <f>IF(C46="","",VLOOKUP(C46,#REF!,2,FALSE))</f>
        <v>#REF!</v>
      </c>
      <c r="C46" s="34" t="s">
        <v>64</v>
      </c>
      <c r="D46" s="8" t="s">
        <v>21</v>
      </c>
      <c r="E46" s="9">
        <f t="shared" si="5"/>
        <v>160</v>
      </c>
      <c r="F46" s="10" t="e">
        <f>IF(C46="","",VLOOKUP(C46,#REF!,2,FALSE))</f>
        <v>#REF!</v>
      </c>
      <c r="G46" s="11" t="e">
        <f t="shared" si="4"/>
        <v>#REF!</v>
      </c>
      <c r="H46" s="307"/>
      <c r="I46" s="28">
        <v>160</v>
      </c>
      <c r="J46" s="28">
        <v>1</v>
      </c>
      <c r="K46" s="28">
        <v>1</v>
      </c>
      <c r="M46" s="28"/>
    </row>
    <row r="47" spans="1:13">
      <c r="A47" s="5" t="s">
        <v>65</v>
      </c>
      <c r="B47" s="6" t="e">
        <f>IF(C47="","",VLOOKUP(C47,#REF!,2,FALSE))</f>
        <v>#REF!</v>
      </c>
      <c r="C47" s="7" t="s">
        <v>39</v>
      </c>
      <c r="D47" s="8" t="s">
        <v>21</v>
      </c>
      <c r="E47" s="9">
        <f t="shared" si="5"/>
        <v>160</v>
      </c>
      <c r="F47" s="10" t="e">
        <f>IF(C47="","",VLOOKUP(C47,#REF!,2,FALSE))</f>
        <v>#REF!</v>
      </c>
      <c r="G47" s="11" t="e">
        <f t="shared" si="4"/>
        <v>#REF!</v>
      </c>
      <c r="H47" s="307"/>
      <c r="I47" s="28">
        <v>160</v>
      </c>
      <c r="J47" s="28">
        <v>1</v>
      </c>
      <c r="K47" s="28">
        <v>1</v>
      </c>
      <c r="M47" s="28"/>
    </row>
    <row r="48" spans="1:13">
      <c r="A48" s="5" t="s">
        <v>66</v>
      </c>
      <c r="B48" s="6" t="e">
        <f>IF(C48="","",VLOOKUP(C48,#REF!,2,FALSE))</f>
        <v>#REF!</v>
      </c>
      <c r="C48" s="7" t="s">
        <v>41</v>
      </c>
      <c r="D48" s="8" t="s">
        <v>21</v>
      </c>
      <c r="E48" s="9">
        <f t="shared" si="5"/>
        <v>80</v>
      </c>
      <c r="F48" s="10" t="e">
        <f>IF(C48="","",VLOOKUP(C48,#REF!,2,FALSE))</f>
        <v>#REF!</v>
      </c>
      <c r="G48" s="11" t="e">
        <f t="shared" si="4"/>
        <v>#REF!</v>
      </c>
      <c r="H48" s="307"/>
      <c r="I48" s="28">
        <v>80</v>
      </c>
      <c r="J48" s="28">
        <v>1</v>
      </c>
      <c r="K48" s="28">
        <v>1</v>
      </c>
      <c r="M48" s="28"/>
    </row>
    <row r="49" spans="1:15">
      <c r="A49" s="5" t="s">
        <v>67</v>
      </c>
      <c r="B49" s="6" t="e">
        <f>IF(C49="","",VLOOKUP(C49,#REF!,2,FALSE))</f>
        <v>#REF!</v>
      </c>
      <c r="C49" s="7" t="s">
        <v>43</v>
      </c>
      <c r="D49" s="8"/>
      <c r="E49" s="9">
        <f t="shared" si="5"/>
        <v>160</v>
      </c>
      <c r="F49" s="10" t="e">
        <f>IF(C49="","",VLOOKUP(C49,#REF!,2,FALSE))</f>
        <v>#REF!</v>
      </c>
      <c r="G49" s="11" t="e">
        <f t="shared" si="4"/>
        <v>#REF!</v>
      </c>
      <c r="H49" s="307"/>
      <c r="I49" s="28">
        <v>160</v>
      </c>
      <c r="J49" s="28">
        <v>1</v>
      </c>
      <c r="K49" s="28">
        <v>1</v>
      </c>
      <c r="M49" s="28"/>
    </row>
    <row r="50" spans="1:15">
      <c r="A50" s="5" t="s">
        <v>68</v>
      </c>
      <c r="B50" s="6" t="e">
        <f>IF(C50="","",VLOOKUP(C50,#REF!,2,FALSE))</f>
        <v>#REF!</v>
      </c>
      <c r="C50" s="7" t="s">
        <v>55</v>
      </c>
      <c r="D50" s="8"/>
      <c r="E50" s="9">
        <f t="shared" si="5"/>
        <v>160</v>
      </c>
      <c r="F50" s="10" t="e">
        <f>IF(C50="","",VLOOKUP(C50,#REF!,2,FALSE))</f>
        <v>#REF!</v>
      </c>
      <c r="G50" s="11" t="e">
        <f t="shared" si="4"/>
        <v>#REF!</v>
      </c>
      <c r="H50" s="307"/>
      <c r="I50" s="28">
        <v>160</v>
      </c>
      <c r="J50" s="28">
        <v>1</v>
      </c>
      <c r="K50" s="28">
        <v>1</v>
      </c>
      <c r="M50" s="28"/>
    </row>
    <row r="51" spans="1:15" ht="24" customHeight="1">
      <c r="A51" s="16">
        <v>4</v>
      </c>
      <c r="B51" s="423" t="s">
        <v>69</v>
      </c>
      <c r="C51" s="423"/>
      <c r="D51" s="423"/>
      <c r="E51" s="423"/>
      <c r="F51" s="423"/>
      <c r="G51" s="18" t="e">
        <f>SUM(G52:G61)</f>
        <v>#REF!</v>
      </c>
      <c r="H51" s="307"/>
      <c r="I51" s="304"/>
      <c r="J51" s="304"/>
      <c r="K51" s="304"/>
      <c r="L51" s="42">
        <v>1</v>
      </c>
      <c r="M51" s="275" t="s">
        <v>70</v>
      </c>
    </row>
    <row r="52" spans="1:15" ht="12.75" customHeight="1">
      <c r="A52" s="5" t="s">
        <v>71</v>
      </c>
      <c r="B52" s="6" t="s">
        <v>29</v>
      </c>
      <c r="C52" s="7"/>
      <c r="D52" s="8" t="s">
        <v>21</v>
      </c>
      <c r="E52" s="9">
        <f>I52*J52*K52</f>
        <v>80</v>
      </c>
      <c r="F52" s="10">
        <v>53.9</v>
      </c>
      <c r="G52" s="11">
        <f t="shared" ref="G52:G61" si="6">E52*F52</f>
        <v>4312</v>
      </c>
      <c r="H52" s="307"/>
      <c r="I52" s="28">
        <v>80</v>
      </c>
      <c r="J52" s="28">
        <v>1</v>
      </c>
      <c r="K52" s="28">
        <v>1</v>
      </c>
      <c r="M52" s="28">
        <v>40</v>
      </c>
      <c r="N52" s="28">
        <v>1</v>
      </c>
      <c r="O52" s="28">
        <v>1</v>
      </c>
    </row>
    <row r="53" spans="1:15">
      <c r="A53" s="5" t="s">
        <v>72</v>
      </c>
      <c r="B53" s="6" t="s">
        <v>31</v>
      </c>
      <c r="C53" s="7"/>
      <c r="D53" s="8" t="s">
        <v>21</v>
      </c>
      <c r="E53" s="9">
        <f t="shared" ref="E53:E61" si="7">I53*J53*K53</f>
        <v>20</v>
      </c>
      <c r="F53" s="10">
        <v>53.9</v>
      </c>
      <c r="G53" s="11">
        <f t="shared" si="6"/>
        <v>1078</v>
      </c>
      <c r="H53" s="307"/>
      <c r="I53" s="28">
        <v>20</v>
      </c>
      <c r="J53" s="28">
        <v>1</v>
      </c>
      <c r="K53" s="28">
        <v>1</v>
      </c>
      <c r="M53" s="28">
        <v>20</v>
      </c>
      <c r="N53" s="28">
        <v>1</v>
      </c>
      <c r="O53" s="28">
        <v>1</v>
      </c>
    </row>
    <row r="54" spans="1:15">
      <c r="A54" s="5" t="s">
        <v>73</v>
      </c>
      <c r="B54" s="6" t="s">
        <v>33</v>
      </c>
      <c r="C54" s="7"/>
      <c r="D54" s="8" t="s">
        <v>21</v>
      </c>
      <c r="E54" s="9">
        <f t="shared" si="7"/>
        <v>80</v>
      </c>
      <c r="F54" s="10">
        <v>53.9</v>
      </c>
      <c r="G54" s="11">
        <f t="shared" si="6"/>
        <v>4312</v>
      </c>
      <c r="H54" s="307"/>
      <c r="I54" s="28">
        <v>80</v>
      </c>
      <c r="J54" s="28">
        <v>1</v>
      </c>
      <c r="K54" s="28">
        <v>1</v>
      </c>
      <c r="M54" s="28">
        <v>40</v>
      </c>
      <c r="N54" s="28">
        <v>1</v>
      </c>
      <c r="O54" s="28">
        <v>1</v>
      </c>
    </row>
    <row r="55" spans="1:15" ht="12.75" customHeight="1">
      <c r="A55" s="5" t="s">
        <v>74</v>
      </c>
      <c r="B55" s="6" t="e">
        <f>IF(C55="","",VLOOKUP(C55,#REF!,2,FALSE))</f>
        <v>#REF!</v>
      </c>
      <c r="C55" s="7" t="s">
        <v>35</v>
      </c>
      <c r="D55" s="8" t="s">
        <v>21</v>
      </c>
      <c r="E55" s="9">
        <f t="shared" si="7"/>
        <v>160</v>
      </c>
      <c r="F55" s="10" t="e">
        <f>IF(C55="","",VLOOKUP(C55,#REF!,2,FALSE))</f>
        <v>#REF!</v>
      </c>
      <c r="G55" s="11" t="e">
        <f t="shared" si="6"/>
        <v>#REF!</v>
      </c>
      <c r="H55" s="307"/>
      <c r="I55" s="28">
        <v>160</v>
      </c>
      <c r="J55" s="28">
        <v>1</v>
      </c>
      <c r="K55" s="28">
        <v>1</v>
      </c>
      <c r="M55" s="28">
        <v>80</v>
      </c>
      <c r="N55" s="28">
        <v>1</v>
      </c>
      <c r="O55" s="28">
        <v>1</v>
      </c>
    </row>
    <row r="56" spans="1:15">
      <c r="A56" s="5" t="s">
        <v>75</v>
      </c>
      <c r="B56" s="6" t="e">
        <f>IF(C56="","",VLOOKUP(C56,#REF!,2,FALSE))</f>
        <v>#REF!</v>
      </c>
      <c r="C56" s="7" t="s">
        <v>37</v>
      </c>
      <c r="D56" s="8" t="s">
        <v>21</v>
      </c>
      <c r="E56" s="9">
        <f t="shared" si="7"/>
        <v>320</v>
      </c>
      <c r="F56" s="10" t="e">
        <f>IF(C56="","",VLOOKUP(C56,#REF!,2,FALSE))</f>
        <v>#REF!</v>
      </c>
      <c r="G56" s="11" t="e">
        <f t="shared" si="6"/>
        <v>#REF!</v>
      </c>
      <c r="H56" s="307"/>
      <c r="I56" s="28">
        <v>160</v>
      </c>
      <c r="J56" s="28">
        <v>1</v>
      </c>
      <c r="K56" s="28">
        <v>2</v>
      </c>
      <c r="M56" s="28">
        <v>160</v>
      </c>
      <c r="N56" s="28">
        <v>1</v>
      </c>
      <c r="O56" s="28">
        <v>2</v>
      </c>
    </row>
    <row r="57" spans="1:15">
      <c r="A57" s="5" t="s">
        <v>76</v>
      </c>
      <c r="B57" s="6" t="e">
        <f>IF(C57="","",VLOOKUP(C57,#REF!,2,FALSE))</f>
        <v>#REF!</v>
      </c>
      <c r="C57" s="7" t="s">
        <v>64</v>
      </c>
      <c r="D57" s="8" t="s">
        <v>21</v>
      </c>
      <c r="E57" s="9">
        <f>I57*J57*K57</f>
        <v>0</v>
      </c>
      <c r="F57" s="10" t="e">
        <f>IF(C57="","",VLOOKUP(C57,#REF!,2,FALSE))</f>
        <v>#REF!</v>
      </c>
      <c r="G57" s="11" t="e">
        <f>E57*F57</f>
        <v>#REF!</v>
      </c>
      <c r="H57" s="307"/>
      <c r="I57" s="28">
        <v>160</v>
      </c>
      <c r="J57" s="28">
        <v>1</v>
      </c>
      <c r="K57" s="28">
        <v>0</v>
      </c>
      <c r="M57" s="28">
        <v>160</v>
      </c>
      <c r="N57" s="28">
        <v>1</v>
      </c>
      <c r="O57" s="28">
        <v>0</v>
      </c>
    </row>
    <row r="58" spans="1:15">
      <c r="A58" s="5" t="s">
        <v>77</v>
      </c>
      <c r="B58" s="6" t="e">
        <f>IF(C58="","",VLOOKUP(C58,#REF!,2,FALSE))</f>
        <v>#REF!</v>
      </c>
      <c r="C58" s="7" t="s">
        <v>39</v>
      </c>
      <c r="D58" s="8" t="s">
        <v>21</v>
      </c>
      <c r="E58" s="9">
        <f t="shared" si="7"/>
        <v>160</v>
      </c>
      <c r="F58" s="10" t="e">
        <f>IF(C58="","",VLOOKUP(C58,#REF!,2,FALSE))</f>
        <v>#REF!</v>
      </c>
      <c r="G58" s="11" t="e">
        <f t="shared" si="6"/>
        <v>#REF!</v>
      </c>
      <c r="H58" s="307"/>
      <c r="I58" s="28">
        <v>160</v>
      </c>
      <c r="J58" s="28">
        <v>1</v>
      </c>
      <c r="K58" s="28">
        <v>1</v>
      </c>
      <c r="M58" s="28">
        <v>160</v>
      </c>
      <c r="N58" s="28">
        <v>1</v>
      </c>
      <c r="O58" s="28">
        <v>1</v>
      </c>
    </row>
    <row r="59" spans="1:15">
      <c r="A59" s="5" t="s">
        <v>78</v>
      </c>
      <c r="B59" s="6" t="e">
        <f>IF(C59="","",VLOOKUP(C59,#REF!,2,FALSE))</f>
        <v>#REF!</v>
      </c>
      <c r="C59" s="7" t="s">
        <v>41</v>
      </c>
      <c r="D59" s="8" t="s">
        <v>21</v>
      </c>
      <c r="E59" s="9">
        <f t="shared" si="7"/>
        <v>160</v>
      </c>
      <c r="F59" s="10" t="e">
        <f>IF(C59="","",VLOOKUP(C59,#REF!,2,FALSE))</f>
        <v>#REF!</v>
      </c>
      <c r="G59" s="11" t="e">
        <f t="shared" si="6"/>
        <v>#REF!</v>
      </c>
      <c r="H59" s="307"/>
      <c r="I59" s="28">
        <v>160</v>
      </c>
      <c r="J59" s="28">
        <v>1</v>
      </c>
      <c r="K59" s="28">
        <v>1</v>
      </c>
      <c r="M59" s="28">
        <v>80</v>
      </c>
      <c r="N59" s="28">
        <v>1</v>
      </c>
      <c r="O59" s="28">
        <v>1</v>
      </c>
    </row>
    <row r="60" spans="1:15">
      <c r="A60" s="5" t="s">
        <v>79</v>
      </c>
      <c r="B60" s="6" t="e">
        <f>IF(C60="","",VLOOKUP(C60,#REF!,2,FALSE))</f>
        <v>#REF!</v>
      </c>
      <c r="C60" s="7" t="s">
        <v>43</v>
      </c>
      <c r="D60" s="8"/>
      <c r="E60" s="9">
        <f t="shared" si="7"/>
        <v>160</v>
      </c>
      <c r="F60" s="10" t="e">
        <f>IF(C60="","",VLOOKUP(C60,#REF!,2,FALSE))</f>
        <v>#REF!</v>
      </c>
      <c r="G60" s="11" t="e">
        <f t="shared" si="6"/>
        <v>#REF!</v>
      </c>
      <c r="H60" s="307"/>
      <c r="I60" s="28">
        <v>160</v>
      </c>
      <c r="J60" s="28">
        <v>1</v>
      </c>
      <c r="K60" s="28">
        <v>1</v>
      </c>
      <c r="M60" s="28">
        <v>160</v>
      </c>
      <c r="N60" s="28">
        <v>1</v>
      </c>
      <c r="O60" s="28">
        <v>1</v>
      </c>
    </row>
    <row r="61" spans="1:15">
      <c r="A61" s="5" t="s">
        <v>80</v>
      </c>
      <c r="B61" s="6" t="e">
        <f>IF(C61="","",VLOOKUP(C61,#REF!,2,FALSE))</f>
        <v>#REF!</v>
      </c>
      <c r="C61" s="7" t="s">
        <v>55</v>
      </c>
      <c r="D61" s="8"/>
      <c r="E61" s="9">
        <f t="shared" si="7"/>
        <v>160</v>
      </c>
      <c r="F61" s="10" t="e">
        <f>IF(C61="","",VLOOKUP(C61,#REF!,2,FALSE))</f>
        <v>#REF!</v>
      </c>
      <c r="G61" s="11" t="e">
        <f t="shared" si="6"/>
        <v>#REF!</v>
      </c>
      <c r="H61" s="307"/>
      <c r="I61" s="28">
        <v>160</v>
      </c>
      <c r="J61" s="28">
        <v>1</v>
      </c>
      <c r="K61" s="28">
        <v>1</v>
      </c>
      <c r="M61" s="28">
        <v>40</v>
      </c>
      <c r="N61" s="28">
        <v>1</v>
      </c>
      <c r="O61" s="28">
        <v>1</v>
      </c>
    </row>
    <row r="62" spans="1:15">
      <c r="A62" s="16">
        <v>5</v>
      </c>
      <c r="B62" s="420" t="s">
        <v>81</v>
      </c>
      <c r="C62" s="420"/>
      <c r="D62" s="420"/>
      <c r="E62" s="17"/>
      <c r="F62" s="17"/>
      <c r="G62" s="18" t="e">
        <f>SUM(G63:G70)</f>
        <v>#REF!</v>
      </c>
      <c r="H62" s="307"/>
      <c r="I62" s="304"/>
      <c r="J62" s="304"/>
      <c r="K62" s="304"/>
      <c r="L62" s="42">
        <v>1</v>
      </c>
      <c r="M62" s="275" t="s">
        <v>82</v>
      </c>
    </row>
    <row r="63" spans="1:15">
      <c r="A63" s="5" t="s">
        <v>83</v>
      </c>
      <c r="B63" s="6" t="s">
        <v>29</v>
      </c>
      <c r="C63" s="7"/>
      <c r="D63" s="8" t="s">
        <v>21</v>
      </c>
      <c r="E63" s="9">
        <f>I63*J63*K63</f>
        <v>0</v>
      </c>
      <c r="F63" s="10">
        <v>53.9</v>
      </c>
      <c r="G63" s="11">
        <f t="shared" ref="G63:G70" si="8">E63*F63</f>
        <v>0</v>
      </c>
      <c r="H63" s="307"/>
      <c r="I63" s="28">
        <v>160</v>
      </c>
      <c r="J63" s="28">
        <v>1</v>
      </c>
      <c r="K63" s="28">
        <v>0</v>
      </c>
    </row>
    <row r="64" spans="1:15">
      <c r="A64" s="5" t="s">
        <v>84</v>
      </c>
      <c r="B64" s="6" t="s">
        <v>31</v>
      </c>
      <c r="C64" s="7"/>
      <c r="D64" s="8" t="s">
        <v>21</v>
      </c>
      <c r="E64" s="9">
        <f t="shared" ref="E64:E70" si="9">I64*J64*K64</f>
        <v>20</v>
      </c>
      <c r="F64" s="10">
        <v>53.9</v>
      </c>
      <c r="G64" s="11">
        <f t="shared" si="8"/>
        <v>1078</v>
      </c>
      <c r="H64" s="307"/>
      <c r="I64" s="28">
        <v>20</v>
      </c>
      <c r="J64" s="28">
        <v>1</v>
      </c>
      <c r="K64" s="28">
        <v>1</v>
      </c>
    </row>
    <row r="65" spans="1:14">
      <c r="A65" s="5" t="s">
        <v>85</v>
      </c>
      <c r="B65" s="6" t="s">
        <v>33</v>
      </c>
      <c r="C65" s="7"/>
      <c r="D65" s="8" t="s">
        <v>21</v>
      </c>
      <c r="E65" s="9">
        <f t="shared" si="9"/>
        <v>0</v>
      </c>
      <c r="F65" s="10">
        <v>53.9</v>
      </c>
      <c r="G65" s="11">
        <f t="shared" si="8"/>
        <v>0</v>
      </c>
      <c r="H65" s="307"/>
      <c r="I65" s="28">
        <v>160</v>
      </c>
      <c r="J65" s="28">
        <v>1</v>
      </c>
      <c r="K65" s="28">
        <v>0</v>
      </c>
    </row>
    <row r="66" spans="1:14">
      <c r="A66" s="5" t="s">
        <v>86</v>
      </c>
      <c r="B66" s="6" t="e">
        <f>IF(C66="","",VLOOKUP(C66,#REF!,2,FALSE))</f>
        <v>#REF!</v>
      </c>
      <c r="C66" s="7" t="s">
        <v>35</v>
      </c>
      <c r="D66" s="8" t="s">
        <v>21</v>
      </c>
      <c r="E66" s="9">
        <f t="shared" si="9"/>
        <v>40</v>
      </c>
      <c r="F66" s="10" t="e">
        <f>IF(C66="","",VLOOKUP(C66,#REF!,2,FALSE))</f>
        <v>#REF!</v>
      </c>
      <c r="G66" s="11" t="e">
        <f t="shared" si="8"/>
        <v>#REF!</v>
      </c>
      <c r="H66" s="307"/>
      <c r="I66" s="28">
        <v>40</v>
      </c>
      <c r="J66" s="304">
        <v>1</v>
      </c>
      <c r="K66" s="28">
        <v>1</v>
      </c>
    </row>
    <row r="67" spans="1:14">
      <c r="A67" s="5" t="s">
        <v>87</v>
      </c>
      <c r="B67" s="6" t="e">
        <f>IF(C67="","",VLOOKUP(C67,#REF!,2,FALSE))</f>
        <v>#REF!</v>
      </c>
      <c r="C67" s="7" t="s">
        <v>37</v>
      </c>
      <c r="D67" s="8" t="s">
        <v>21</v>
      </c>
      <c r="E67" s="9">
        <f t="shared" si="9"/>
        <v>160</v>
      </c>
      <c r="F67" s="10" t="e">
        <f>IF(C67="","",VLOOKUP(C67,#REF!,2,FALSE))</f>
        <v>#REF!</v>
      </c>
      <c r="G67" s="11" t="e">
        <f t="shared" si="8"/>
        <v>#REF!</v>
      </c>
      <c r="H67" s="307"/>
      <c r="I67" s="28">
        <v>160</v>
      </c>
      <c r="J67" s="304">
        <v>1</v>
      </c>
      <c r="K67" s="28">
        <v>1</v>
      </c>
    </row>
    <row r="68" spans="1:14">
      <c r="A68" s="5" t="s">
        <v>88</v>
      </c>
      <c r="B68" s="6" t="e">
        <f>IF(C68="","",VLOOKUP(C68,#REF!,2,FALSE))</f>
        <v>#REF!</v>
      </c>
      <c r="C68" s="7" t="s">
        <v>39</v>
      </c>
      <c r="D68" s="8" t="s">
        <v>21</v>
      </c>
      <c r="E68" s="9">
        <f t="shared" si="9"/>
        <v>0</v>
      </c>
      <c r="F68" s="10" t="e">
        <f>IF(C68="","",VLOOKUP(C68,#REF!,2,FALSE))</f>
        <v>#REF!</v>
      </c>
      <c r="G68" s="11" t="e">
        <f t="shared" si="8"/>
        <v>#REF!</v>
      </c>
      <c r="H68" s="307"/>
      <c r="I68" s="28">
        <v>160</v>
      </c>
      <c r="J68" s="304">
        <v>1</v>
      </c>
      <c r="K68" s="28">
        <v>0</v>
      </c>
    </row>
    <row r="69" spans="1:14">
      <c r="A69" s="5" t="s">
        <v>89</v>
      </c>
      <c r="B69" s="6" t="e">
        <f>IF(C69="","",VLOOKUP(C69,#REF!,2,FALSE))</f>
        <v>#REF!</v>
      </c>
      <c r="C69" s="7" t="s">
        <v>41</v>
      </c>
      <c r="D69" s="8" t="s">
        <v>21</v>
      </c>
      <c r="E69" s="9">
        <f t="shared" si="9"/>
        <v>0</v>
      </c>
      <c r="F69" s="10" t="e">
        <f>IF(C69="","",VLOOKUP(C69,#REF!,2,FALSE))</f>
        <v>#REF!</v>
      </c>
      <c r="G69" s="11" t="e">
        <f t="shared" si="8"/>
        <v>#REF!</v>
      </c>
      <c r="H69" s="307"/>
      <c r="I69" s="28">
        <v>160</v>
      </c>
      <c r="J69" s="304">
        <v>1</v>
      </c>
      <c r="K69" s="28">
        <v>0</v>
      </c>
    </row>
    <row r="70" spans="1:14">
      <c r="A70" s="5" t="s">
        <v>90</v>
      </c>
      <c r="B70" s="6" t="e">
        <f>IF(C70="","",VLOOKUP(C70,#REF!,2,FALSE))</f>
        <v>#REF!</v>
      </c>
      <c r="C70" s="7" t="s">
        <v>43</v>
      </c>
      <c r="D70" s="8" t="s">
        <v>21</v>
      </c>
      <c r="E70" s="9">
        <f t="shared" si="9"/>
        <v>0</v>
      </c>
      <c r="F70" s="10" t="e">
        <f>IF(C70="","",VLOOKUP(C70,#REF!,2,FALSE))</f>
        <v>#REF!</v>
      </c>
      <c r="G70" s="11" t="e">
        <f t="shared" si="8"/>
        <v>#REF!</v>
      </c>
      <c r="H70" s="307"/>
      <c r="I70" s="28">
        <v>160</v>
      </c>
      <c r="J70" s="304">
        <v>1</v>
      </c>
      <c r="K70" s="28">
        <v>0</v>
      </c>
    </row>
    <row r="71" spans="1:14">
      <c r="A71" s="16">
        <v>6</v>
      </c>
      <c r="B71" s="420" t="s">
        <v>91</v>
      </c>
      <c r="C71" s="420"/>
      <c r="D71" s="420"/>
      <c r="E71" s="17"/>
      <c r="F71" s="17"/>
      <c r="G71" s="18" t="e">
        <f>SUM(G72:G76)</f>
        <v>#REF!</v>
      </c>
      <c r="H71" s="307"/>
      <c r="I71" s="304"/>
      <c r="J71" s="304"/>
      <c r="K71" s="304"/>
      <c r="L71" s="42">
        <v>1</v>
      </c>
      <c r="M71" s="275" t="s">
        <v>92</v>
      </c>
      <c r="N71" s="305" t="s">
        <v>93</v>
      </c>
    </row>
    <row r="72" spans="1:14">
      <c r="A72" s="5" t="s">
        <v>94</v>
      </c>
      <c r="B72" s="6" t="e">
        <f>IF(C72="","",VLOOKUP(C72,#REF!,2,FALSE))</f>
        <v>#REF!</v>
      </c>
      <c r="C72" s="7" t="s">
        <v>35</v>
      </c>
      <c r="D72" s="8" t="s">
        <v>21</v>
      </c>
      <c r="E72" s="9">
        <f>I72*J72*K72</f>
        <v>40</v>
      </c>
      <c r="F72" s="10" t="e">
        <f>IF(C72="","",VLOOKUP(C72,#REF!,2,FALSE))</f>
        <v>#REF!</v>
      </c>
      <c r="G72" s="11" t="e">
        <f>E72*F72</f>
        <v>#REF!</v>
      </c>
      <c r="H72" s="307"/>
      <c r="I72" s="28">
        <v>40</v>
      </c>
      <c r="J72" s="304">
        <v>1</v>
      </c>
      <c r="K72" s="304">
        <v>1</v>
      </c>
    </row>
    <row r="73" spans="1:14">
      <c r="A73" s="5" t="s">
        <v>95</v>
      </c>
      <c r="B73" s="6" t="e">
        <f>IF(C73="","",VLOOKUP(C73,#REF!,2,FALSE))</f>
        <v>#REF!</v>
      </c>
      <c r="C73" s="7" t="s">
        <v>37</v>
      </c>
      <c r="D73" s="8" t="s">
        <v>21</v>
      </c>
      <c r="E73" s="9">
        <f>I73*J73*K73</f>
        <v>160</v>
      </c>
      <c r="F73" s="10" t="e">
        <f>IF(C73="","",VLOOKUP(C73,#REF!,2,FALSE))</f>
        <v>#REF!</v>
      </c>
      <c r="G73" s="11" t="e">
        <f>E73*F73</f>
        <v>#REF!</v>
      </c>
      <c r="H73" s="307"/>
      <c r="I73" s="28">
        <v>160</v>
      </c>
      <c r="J73" s="304">
        <v>1</v>
      </c>
      <c r="K73" s="304">
        <v>1</v>
      </c>
    </row>
    <row r="74" spans="1:14">
      <c r="A74" s="5" t="s">
        <v>96</v>
      </c>
      <c r="B74" s="6" t="e">
        <f>IF(C74="","",VLOOKUP(C74,#REF!,2,FALSE))</f>
        <v>#REF!</v>
      </c>
      <c r="C74" s="7" t="s">
        <v>39</v>
      </c>
      <c r="D74" s="8" t="s">
        <v>21</v>
      </c>
      <c r="E74" s="9">
        <f>I74*J74*K74</f>
        <v>0</v>
      </c>
      <c r="F74" s="10" t="e">
        <f>IF(C74="","",VLOOKUP(C74,#REF!,2,FALSE))</f>
        <v>#REF!</v>
      </c>
      <c r="G74" s="11" t="e">
        <f>E74*F74</f>
        <v>#REF!</v>
      </c>
      <c r="H74" s="307"/>
      <c r="I74" s="28">
        <v>160</v>
      </c>
      <c r="J74" s="304">
        <v>1</v>
      </c>
      <c r="K74" s="304">
        <v>0</v>
      </c>
    </row>
    <row r="75" spans="1:14">
      <c r="A75" s="5" t="s">
        <v>97</v>
      </c>
      <c r="B75" s="6" t="s">
        <v>98</v>
      </c>
      <c r="C75" s="7"/>
      <c r="D75" s="8" t="s">
        <v>21</v>
      </c>
      <c r="E75" s="9">
        <f>I75*J75*K75</f>
        <v>160</v>
      </c>
      <c r="F75" s="10">
        <v>53.9</v>
      </c>
      <c r="G75" s="11">
        <f>E75*F75</f>
        <v>8624</v>
      </c>
      <c r="H75" s="307"/>
      <c r="I75" s="28">
        <v>160</v>
      </c>
      <c r="J75" s="304">
        <v>1</v>
      </c>
      <c r="K75" s="304">
        <v>1</v>
      </c>
    </row>
    <row r="76" spans="1:14">
      <c r="A76" s="5" t="s">
        <v>99</v>
      </c>
      <c r="B76" s="6" t="e">
        <f>IF(C76="","",VLOOKUP(C76,#REF!,2,FALSE))</f>
        <v>#REF!</v>
      </c>
      <c r="C76" s="7" t="s">
        <v>55</v>
      </c>
      <c r="D76" s="8" t="s">
        <v>21</v>
      </c>
      <c r="E76" s="9">
        <f>I76*J76*K76</f>
        <v>40</v>
      </c>
      <c r="F76" s="10" t="e">
        <f>IF(C76="","",VLOOKUP(C76,#REF!,2,FALSE))</f>
        <v>#REF!</v>
      </c>
      <c r="G76" s="11" t="e">
        <f>E76*F76</f>
        <v>#REF!</v>
      </c>
      <c r="H76" s="307"/>
      <c r="I76" s="28">
        <v>40</v>
      </c>
      <c r="J76" s="304">
        <v>1</v>
      </c>
      <c r="K76" s="304">
        <v>1</v>
      </c>
    </row>
    <row r="77" spans="1:14" hidden="1">
      <c r="A77" s="421" t="s">
        <v>100</v>
      </c>
      <c r="B77" s="422"/>
      <c r="C77" s="422"/>
      <c r="D77" s="422"/>
      <c r="E77" s="422"/>
      <c r="F77" s="422"/>
      <c r="G77" s="11" t="e">
        <f>((G17/10)*9)+SUM(G21,G30,G40,#REF!,G51,#REF!,#REF!,G62,G71)</f>
        <v>#REF!</v>
      </c>
      <c r="H77" s="307"/>
      <c r="J77" s="304"/>
      <c r="K77" s="304"/>
    </row>
    <row r="78" spans="1:14" hidden="1">
      <c r="A78" s="421" t="s">
        <v>101</v>
      </c>
      <c r="B78" s="422"/>
      <c r="C78" s="422"/>
      <c r="D78" s="422"/>
      <c r="E78" s="422"/>
      <c r="F78" s="422"/>
      <c r="G78" s="11" t="e">
        <f>G77*1.16</f>
        <v>#REF!</v>
      </c>
      <c r="H78" s="307"/>
      <c r="J78" s="304"/>
      <c r="K78" s="304"/>
    </row>
    <row r="79" spans="1:14">
      <c r="A79" s="26"/>
      <c r="B79" s="308"/>
      <c r="C79" s="309"/>
      <c r="D79" s="310"/>
      <c r="E79" s="311"/>
      <c r="F79" s="312"/>
      <c r="G79" s="313"/>
      <c r="H79" s="3"/>
      <c r="I79" s="24"/>
      <c r="J79" s="4"/>
      <c r="K79" s="15"/>
      <c r="L79" s="42">
        <f>SUM(L21:L78)</f>
        <v>6</v>
      </c>
      <c r="M79" s="275" t="s">
        <v>102</v>
      </c>
    </row>
    <row r="80" spans="1:14">
      <c r="A80" s="26"/>
      <c r="B80" s="25" t="s">
        <v>103</v>
      </c>
      <c r="C80" s="20"/>
      <c r="D80" s="20"/>
      <c r="E80" s="21"/>
      <c r="F80" s="22"/>
      <c r="G80" s="23" t="e">
        <f>SUM(G71,G62,G51,,G40,G30,G21,G17)</f>
        <v>#REF!</v>
      </c>
      <c r="H80" s="307"/>
      <c r="I80" s="304"/>
      <c r="J80" s="304"/>
      <c r="K80" s="304"/>
    </row>
    <row r="81" spans="1:11">
      <c r="A81" s="27"/>
      <c r="B81" s="25" t="s">
        <v>104</v>
      </c>
      <c r="C81" s="20"/>
      <c r="D81" s="20"/>
      <c r="E81" s="21"/>
      <c r="F81" s="22"/>
      <c r="G81" s="23" t="e">
        <f>G80*0.08</f>
        <v>#REF!</v>
      </c>
      <c r="H81" s="307"/>
      <c r="I81" s="304"/>
      <c r="J81" s="304"/>
      <c r="K81" s="304"/>
    </row>
    <row r="82" spans="1:11">
      <c r="A82" s="27"/>
      <c r="B82" s="25" t="s">
        <v>105</v>
      </c>
      <c r="C82" s="20"/>
      <c r="D82" s="20"/>
      <c r="E82" s="21"/>
      <c r="F82" s="22"/>
      <c r="G82" s="23" t="e">
        <f>SUM(G80:G81)</f>
        <v>#REF!</v>
      </c>
      <c r="H82" s="307"/>
      <c r="I82" s="304"/>
      <c r="J82" s="304"/>
      <c r="K82" s="304"/>
    </row>
  </sheetData>
  <mergeCells count="20">
    <mergeCell ref="G15:G16"/>
    <mergeCell ref="B62:D62"/>
    <mergeCell ref="B71:D71"/>
    <mergeCell ref="A77:F77"/>
    <mergeCell ref="A78:F78"/>
    <mergeCell ref="B51:F51"/>
    <mergeCell ref="B17:D17"/>
    <mergeCell ref="B21:D21"/>
    <mergeCell ref="B30:D30"/>
    <mergeCell ref="B40:F40"/>
    <mergeCell ref="A15:A16"/>
    <mergeCell ref="B15:B16"/>
    <mergeCell ref="C15:C16"/>
    <mergeCell ref="D15:D16"/>
    <mergeCell ref="E15:E16"/>
    <mergeCell ref="A1:G9"/>
    <mergeCell ref="A10:G10"/>
    <mergeCell ref="A11:G11"/>
    <mergeCell ref="B13:F13"/>
    <mergeCell ref="A14:G14"/>
  </mergeCells>
  <phoneticPr fontId="17" type="noConversion"/>
  <pageMargins left="1.02" right="0.39370078740157483" top="0.39370078740157483" bottom="0.39370078740157483" header="0" footer="0"/>
  <pageSetup paperSize="9" scale="73" orientation="portrait" r:id="rId1"/>
  <headerFooter scaleWithDoc="0">
    <oddFooter>&amp;C&amp;P</oddFooter>
    <firstFooter>Página &amp;P</first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9:K55"/>
  <sheetViews>
    <sheetView view="pageBreakPreview" topLeftCell="A4" zoomScaleSheetLayoutView="100" workbookViewId="0">
      <selection activeCell="D18" sqref="D18:H26"/>
    </sheetView>
  </sheetViews>
  <sheetFormatPr defaultRowHeight="12.75"/>
  <cols>
    <col min="1" max="1" width="71.42578125" customWidth="1"/>
    <col min="2" max="2" width="14.28515625" style="1" bestFit="1" customWidth="1"/>
    <col min="3" max="7" width="11.7109375" style="1" customWidth="1"/>
    <col min="8" max="8" width="11.7109375" customWidth="1"/>
  </cols>
  <sheetData>
    <row r="9" spans="1:8">
      <c r="A9" s="433" t="s">
        <v>106</v>
      </c>
      <c r="B9" s="433"/>
      <c r="C9" s="433"/>
      <c r="D9" s="433"/>
      <c r="E9" s="433"/>
      <c r="F9" s="433"/>
      <c r="G9" s="433"/>
      <c r="H9" s="433"/>
    </row>
    <row r="10" spans="1:8" ht="12.75" customHeight="1">
      <c r="A10" s="434" t="s">
        <v>107</v>
      </c>
      <c r="B10" s="434"/>
      <c r="C10" s="434"/>
      <c r="D10" s="434"/>
      <c r="E10" s="434"/>
      <c r="F10" s="434"/>
      <c r="G10" s="434"/>
      <c r="H10" s="434"/>
    </row>
    <row r="11" spans="1:8" ht="13.5" thickBot="1">
      <c r="A11" s="434"/>
      <c r="B11" s="434"/>
      <c r="C11" s="434"/>
      <c r="D11" s="434"/>
      <c r="E11" s="434"/>
      <c r="F11" s="434"/>
      <c r="G11" s="434"/>
      <c r="H11" s="434"/>
    </row>
    <row r="12" spans="1:8" ht="13.5" thickBot="1">
      <c r="A12" s="37" t="s">
        <v>108</v>
      </c>
      <c r="B12" s="314" t="s">
        <v>109</v>
      </c>
      <c r="C12" s="435" t="s">
        <v>110</v>
      </c>
      <c r="D12" s="435"/>
      <c r="E12" s="435"/>
      <c r="F12" s="435"/>
      <c r="G12" s="435"/>
      <c r="H12" s="435"/>
    </row>
    <row r="13" spans="1:8">
      <c r="A13" s="315"/>
      <c r="C13" s="38">
        <v>30</v>
      </c>
      <c r="D13" s="39">
        <v>60</v>
      </c>
      <c r="E13" s="39">
        <v>90</v>
      </c>
      <c r="F13" s="39">
        <v>120</v>
      </c>
      <c r="G13" s="39">
        <v>150</v>
      </c>
      <c r="H13" s="39">
        <v>180</v>
      </c>
    </row>
    <row r="14" spans="1:8">
      <c r="A14" s="43"/>
      <c r="B14"/>
      <c r="C14" s="44"/>
      <c r="D14" s="44"/>
      <c r="E14" s="44"/>
      <c r="F14" s="44"/>
      <c r="G14" s="44"/>
      <c r="H14" s="44"/>
    </row>
    <row r="15" spans="1:8" ht="12" customHeight="1">
      <c r="A15" s="427" t="s">
        <v>111</v>
      </c>
      <c r="B15" s="429" t="e">
        <f>'Orç_20-30'!$G$17/6</f>
        <v>#REF!</v>
      </c>
      <c r="C15" s="46"/>
      <c r="D15" s="31"/>
      <c r="E15" s="31"/>
      <c r="F15" s="31"/>
      <c r="G15" s="31"/>
      <c r="H15" s="47"/>
    </row>
    <row r="16" spans="1:8" ht="12" customHeight="1">
      <c r="A16" s="431"/>
      <c r="B16" s="432"/>
      <c r="C16" s="45" t="e">
        <f>('Orç_20-30'!G21+('Crono_20-30'!B15*1))*1.08</f>
        <v>#REF!</v>
      </c>
      <c r="D16" s="44"/>
      <c r="E16" s="44"/>
      <c r="F16" s="44"/>
      <c r="G16" s="44"/>
      <c r="H16" s="48"/>
    </row>
    <row r="17" spans="1:8" ht="12" customHeight="1">
      <c r="A17" s="427" t="s">
        <v>112</v>
      </c>
      <c r="B17" s="429" t="e">
        <f>'Orç_20-30'!$G$17/6</f>
        <v>#REF!</v>
      </c>
      <c r="C17" s="31"/>
      <c r="D17" s="46"/>
      <c r="E17" s="31"/>
      <c r="F17" s="31"/>
      <c r="G17" s="31"/>
      <c r="H17" s="47"/>
    </row>
    <row r="18" spans="1:8" ht="12" customHeight="1">
      <c r="A18" s="431"/>
      <c r="B18" s="432"/>
      <c r="C18" s="44"/>
      <c r="D18" s="45" t="e">
        <f>('Orç_20-30'!G30+('Crono_20-30'!B17*1))*1.08</f>
        <v>#REF!</v>
      </c>
      <c r="E18" s="44"/>
      <c r="F18" s="44"/>
      <c r="G18" s="44"/>
      <c r="H18" s="48"/>
    </row>
    <row r="19" spans="1:8" ht="12" customHeight="1">
      <c r="A19" s="427" t="s">
        <v>113</v>
      </c>
      <c r="B19" s="429" t="e">
        <f>'Orç_20-30'!$G$17/6</f>
        <v>#REF!</v>
      </c>
      <c r="C19" s="31"/>
      <c r="D19" s="31"/>
      <c r="E19" s="46"/>
      <c r="F19" s="31"/>
      <c r="G19" s="31"/>
      <c r="H19" s="47"/>
    </row>
    <row r="20" spans="1:8" ht="12" customHeight="1">
      <c r="A20" s="431"/>
      <c r="B20" s="432"/>
      <c r="C20" s="44"/>
      <c r="D20" s="44"/>
      <c r="E20" s="45" t="e">
        <f>('Orç_20-30'!G40+('Crono_20-30'!B19*1))*1.08</f>
        <v>#REF!</v>
      </c>
      <c r="F20" s="44"/>
      <c r="G20" s="44"/>
      <c r="H20" s="48"/>
    </row>
    <row r="21" spans="1:8" ht="12" customHeight="1">
      <c r="A21" s="427" t="s">
        <v>114</v>
      </c>
      <c r="B21" s="429" t="e">
        <f>'Orç_20-30'!$G$17/6</f>
        <v>#REF!</v>
      </c>
      <c r="C21" s="31"/>
      <c r="D21" s="31"/>
      <c r="E21" s="31"/>
      <c r="F21" s="46"/>
      <c r="G21" s="31"/>
      <c r="H21" s="47"/>
    </row>
    <row r="22" spans="1:8" ht="12" customHeight="1">
      <c r="A22" s="431"/>
      <c r="B22" s="432"/>
      <c r="C22" s="44"/>
      <c r="D22" s="44"/>
      <c r="E22" s="44"/>
      <c r="F22" s="45" t="e">
        <f>('Orç_20-30'!G51+('Crono_20-30'!B21*1))*1.08</f>
        <v>#REF!</v>
      </c>
      <c r="G22" s="44"/>
      <c r="H22" s="48"/>
    </row>
    <row r="23" spans="1:8" ht="12" customHeight="1">
      <c r="A23" s="427" t="s">
        <v>115</v>
      </c>
      <c r="B23" s="429" t="e">
        <f>'Orç_20-30'!$G$17/6</f>
        <v>#REF!</v>
      </c>
      <c r="C23" s="31"/>
      <c r="D23" s="31"/>
      <c r="E23" s="31"/>
      <c r="F23" s="31"/>
      <c r="G23" s="46"/>
      <c r="H23" s="47"/>
    </row>
    <row r="24" spans="1:8" ht="12" customHeight="1">
      <c r="A24" s="431"/>
      <c r="B24" s="432"/>
      <c r="C24" s="44"/>
      <c r="D24" s="44"/>
      <c r="E24" s="44"/>
      <c r="F24" s="44"/>
      <c r="G24" s="45" t="e">
        <f>('Orç_20-30'!G62+('Crono_20-30'!B23*1))*1.08</f>
        <v>#REF!</v>
      </c>
      <c r="H24" s="48"/>
    </row>
    <row r="25" spans="1:8" ht="12" customHeight="1">
      <c r="A25" s="427" t="s">
        <v>116</v>
      </c>
      <c r="B25" s="429" t="e">
        <f>'Orç_20-30'!$G$17/6</f>
        <v>#REF!</v>
      </c>
      <c r="C25" s="31"/>
      <c r="D25" s="31"/>
      <c r="E25" s="31"/>
      <c r="F25" s="31"/>
      <c r="G25" s="31"/>
      <c r="H25" s="49"/>
    </row>
    <row r="26" spans="1:8" ht="12" customHeight="1">
      <c r="A26" s="428"/>
      <c r="B26" s="430"/>
      <c r="C26" s="30"/>
      <c r="D26" s="30"/>
      <c r="E26" s="30"/>
      <c r="F26" s="30"/>
      <c r="G26" s="30"/>
      <c r="H26" s="50" t="e">
        <f>('Orç_20-30'!G71+('Crono_20-30'!B25*1))*1.08</f>
        <v>#REF!</v>
      </c>
    </row>
    <row r="27" spans="1:8">
      <c r="A27" s="316" t="s">
        <v>117</v>
      </c>
      <c r="B27" s="29"/>
      <c r="C27" s="30" t="e">
        <f t="shared" ref="C27:H27" si="0">SUM(C15:C26)</f>
        <v>#REF!</v>
      </c>
      <c r="D27" s="30" t="e">
        <f t="shared" si="0"/>
        <v>#REF!</v>
      </c>
      <c r="E27" s="30" t="e">
        <f t="shared" si="0"/>
        <v>#REF!</v>
      </c>
      <c r="F27" s="30" t="e">
        <f t="shared" si="0"/>
        <v>#REF!</v>
      </c>
      <c r="G27" s="30" t="e">
        <f t="shared" si="0"/>
        <v>#REF!</v>
      </c>
      <c r="H27" s="30" t="e">
        <f t="shared" si="0"/>
        <v>#REF!</v>
      </c>
    </row>
    <row r="28" spans="1:8">
      <c r="A28" s="317" t="s">
        <v>118</v>
      </c>
      <c r="B28" s="33"/>
      <c r="C28" s="32" t="e">
        <f>SUM(C27)</f>
        <v>#REF!</v>
      </c>
      <c r="D28" s="32" t="e">
        <f>SUM(C27:D27)</f>
        <v>#REF!</v>
      </c>
      <c r="E28" s="32" t="e">
        <f>SUM(C27:E27)</f>
        <v>#REF!</v>
      </c>
      <c r="F28" s="32" t="e">
        <f>SUM(C27:F27)</f>
        <v>#REF!</v>
      </c>
      <c r="G28" s="32" t="e">
        <f>SUM(C27:G27)</f>
        <v>#REF!</v>
      </c>
      <c r="H28" s="32" t="e">
        <f>SUM(C27:H27)</f>
        <v>#REF!</v>
      </c>
    </row>
    <row r="29" spans="1:8">
      <c r="A29" s="317" t="s">
        <v>119</v>
      </c>
      <c r="B29" s="33"/>
      <c r="C29" s="32" t="e">
        <f>(C27/$H$28)*100</f>
        <v>#REF!</v>
      </c>
      <c r="D29" s="32" t="e">
        <f t="shared" ref="D29:H30" si="1">(D27/$H$28)*100</f>
        <v>#REF!</v>
      </c>
      <c r="E29" s="32" t="e">
        <f t="shared" si="1"/>
        <v>#REF!</v>
      </c>
      <c r="F29" s="32" t="e">
        <f t="shared" si="1"/>
        <v>#REF!</v>
      </c>
      <c r="G29" s="32" t="e">
        <f t="shared" si="1"/>
        <v>#REF!</v>
      </c>
      <c r="H29" s="32" t="e">
        <f t="shared" si="1"/>
        <v>#REF!</v>
      </c>
    </row>
    <row r="30" spans="1:8">
      <c r="A30" s="317" t="s">
        <v>120</v>
      </c>
      <c r="B30" s="33"/>
      <c r="C30" s="32" t="e">
        <f>(C28/$H$28)*100</f>
        <v>#REF!</v>
      </c>
      <c r="D30" s="32" t="e">
        <f t="shared" si="1"/>
        <v>#REF!</v>
      </c>
      <c r="E30" s="32" t="e">
        <f t="shared" si="1"/>
        <v>#REF!</v>
      </c>
      <c r="F30" s="32" t="e">
        <f t="shared" si="1"/>
        <v>#REF!</v>
      </c>
      <c r="G30" s="32" t="e">
        <f t="shared" si="1"/>
        <v>#REF!</v>
      </c>
      <c r="H30" s="32" t="e">
        <f t="shared" si="1"/>
        <v>#REF!</v>
      </c>
    </row>
    <row r="34" spans="1:11" ht="14.25">
      <c r="A34" s="40"/>
    </row>
    <row r="35" spans="1:11" ht="14.25">
      <c r="A35" s="40"/>
    </row>
    <row r="36" spans="1:11" ht="14.25">
      <c r="A36" s="40"/>
    </row>
    <row r="37" spans="1:11" ht="14.25">
      <c r="A37" s="40"/>
    </row>
    <row r="38" spans="1:11" ht="14.25">
      <c r="A38" s="40"/>
    </row>
    <row r="39" spans="1:11" ht="14.25">
      <c r="A39" s="40"/>
    </row>
    <row r="40" spans="1:11" ht="14.25">
      <c r="A40" s="40"/>
    </row>
    <row r="41" spans="1:11" ht="14.25">
      <c r="A41" s="40"/>
    </row>
    <row r="42" spans="1:11" ht="14.25">
      <c r="A42" s="40"/>
    </row>
    <row r="43" spans="1:11" ht="14.25">
      <c r="A43" s="40"/>
    </row>
    <row r="44" spans="1:11" ht="14.25">
      <c r="A44" s="40"/>
    </row>
    <row r="45" spans="1:11" s="1" customFormat="1" ht="14.25">
      <c r="A45" s="40"/>
      <c r="H45"/>
      <c r="I45"/>
      <c r="J45"/>
      <c r="K45"/>
    </row>
    <row r="46" spans="1:11" s="1" customFormat="1">
      <c r="A46" s="41"/>
      <c r="H46"/>
      <c r="I46"/>
      <c r="J46"/>
      <c r="K46"/>
    </row>
    <row r="47" spans="1:11" s="1" customFormat="1">
      <c r="A47" s="41"/>
      <c r="H47"/>
      <c r="I47"/>
      <c r="J47"/>
      <c r="K47"/>
    </row>
    <row r="48" spans="1:11" s="1" customFormat="1">
      <c r="A48"/>
      <c r="H48"/>
      <c r="I48"/>
      <c r="J48"/>
      <c r="K48"/>
    </row>
    <row r="49" spans="1:11" s="1" customFormat="1">
      <c r="A49"/>
      <c r="H49"/>
      <c r="I49"/>
      <c r="J49"/>
      <c r="K49"/>
    </row>
    <row r="50" spans="1:11" s="1" customFormat="1">
      <c r="A50"/>
      <c r="H50"/>
      <c r="I50"/>
      <c r="J50"/>
      <c r="K50"/>
    </row>
    <row r="51" spans="1:11" s="1" customFormat="1">
      <c r="A51"/>
      <c r="H51"/>
      <c r="I51"/>
      <c r="J51"/>
      <c r="K51"/>
    </row>
    <row r="52" spans="1:11" s="1" customFormat="1">
      <c r="A52"/>
      <c r="H52"/>
      <c r="I52"/>
      <c r="J52"/>
      <c r="K52"/>
    </row>
    <row r="53" spans="1:11" s="1" customFormat="1">
      <c r="A53"/>
      <c r="H53"/>
      <c r="I53"/>
      <c r="J53"/>
      <c r="K53"/>
    </row>
    <row r="54" spans="1:11" s="1" customFormat="1">
      <c r="A54"/>
      <c r="H54"/>
      <c r="I54"/>
      <c r="J54"/>
      <c r="K54"/>
    </row>
    <row r="55" spans="1:11" s="1" customFormat="1">
      <c r="A55"/>
      <c r="H55"/>
      <c r="I55"/>
      <c r="J55"/>
      <c r="K55"/>
    </row>
  </sheetData>
  <mergeCells count="15">
    <mergeCell ref="A17:A18"/>
    <mergeCell ref="B17:B18"/>
    <mergeCell ref="A9:H9"/>
    <mergeCell ref="A10:H11"/>
    <mergeCell ref="C12:H12"/>
    <mergeCell ref="A15:A16"/>
    <mergeCell ref="B15:B16"/>
    <mergeCell ref="A25:A26"/>
    <mergeCell ref="B25:B26"/>
    <mergeCell ref="A19:A20"/>
    <mergeCell ref="B19:B20"/>
    <mergeCell ref="A21:A22"/>
    <mergeCell ref="B21:B22"/>
    <mergeCell ref="A23:A24"/>
    <mergeCell ref="B23:B24"/>
  </mergeCells>
  <phoneticPr fontId="17" type="noConversion"/>
  <pageMargins left="0.19685039370078741" right="0.19685039370078741" top="0.19685039370078741" bottom="0.19685039370078741" header="0" footer="0"/>
  <pageSetup paperSize="9" scale="9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>
    <tabColor theme="8" tint="-0.249977111117893"/>
  </sheetPr>
  <dimension ref="A1:J80"/>
  <sheetViews>
    <sheetView showGridLines="0" view="pageBreakPreview" zoomScale="60" zoomScaleNormal="100" zoomScalePageLayoutView="55" workbookViewId="0">
      <selection activeCell="C40" sqref="C40:J48"/>
    </sheetView>
  </sheetViews>
  <sheetFormatPr defaultColWidth="8.42578125" defaultRowHeight="15.75"/>
  <cols>
    <col min="1" max="10" width="9.5703125" style="53" customWidth="1"/>
    <col min="11" max="16384" width="8.42578125" style="53"/>
  </cols>
  <sheetData>
    <row r="1" spans="1:10" ht="14.45" customHeight="1">
      <c r="A1" s="52"/>
      <c r="B1" s="52"/>
      <c r="C1" s="52"/>
      <c r="D1" s="438" t="s">
        <v>121</v>
      </c>
      <c r="E1" s="438"/>
      <c r="F1" s="438"/>
      <c r="G1" s="438"/>
      <c r="H1" s="438"/>
      <c r="I1" s="438"/>
    </row>
    <row r="2" spans="1:10" ht="14.45" customHeight="1">
      <c r="D2" s="438"/>
      <c r="E2" s="438"/>
      <c r="F2" s="438"/>
      <c r="G2" s="438"/>
      <c r="H2" s="438"/>
      <c r="I2" s="438"/>
      <c r="J2" s="56"/>
    </row>
    <row r="3" spans="1:10" ht="14.45" customHeight="1">
      <c r="D3" s="438"/>
      <c r="E3" s="438"/>
      <c r="F3" s="438"/>
      <c r="G3" s="438"/>
      <c r="H3" s="438"/>
      <c r="I3" s="438"/>
      <c r="J3" s="56"/>
    </row>
    <row r="4" spans="1:10" ht="14.45" customHeight="1">
      <c r="D4" s="438"/>
      <c r="E4" s="438"/>
      <c r="F4" s="438"/>
      <c r="G4" s="438"/>
      <c r="H4" s="438"/>
      <c r="I4" s="438"/>
    </row>
    <row r="5" spans="1:10" ht="14.45" customHeight="1">
      <c r="D5" s="55"/>
      <c r="E5" s="55"/>
      <c r="F5" s="55"/>
      <c r="G5" s="55"/>
      <c r="H5" s="55"/>
      <c r="I5" s="55"/>
    </row>
    <row r="6" spans="1:10" ht="14.45" customHeight="1">
      <c r="D6" s="55"/>
      <c r="E6" s="55"/>
      <c r="G6" s="55"/>
      <c r="H6" s="55"/>
      <c r="I6" s="55"/>
    </row>
    <row r="7" spans="1:10" ht="14.45" customHeight="1">
      <c r="A7" s="440" t="s">
        <v>122</v>
      </c>
      <c r="B7" s="440"/>
      <c r="C7" s="436" t="s">
        <v>123</v>
      </c>
      <c r="D7" s="436"/>
      <c r="E7" s="436"/>
      <c r="F7" s="436"/>
      <c r="G7" s="436"/>
      <c r="H7" s="436"/>
      <c r="I7" s="436"/>
      <c r="J7" s="436"/>
    </row>
    <row r="8" spans="1:10" ht="14.45" customHeight="1">
      <c r="A8" s="440"/>
      <c r="B8" s="440"/>
      <c r="C8" s="436"/>
      <c r="D8" s="436"/>
      <c r="E8" s="436"/>
      <c r="F8" s="436"/>
      <c r="G8" s="436"/>
      <c r="H8" s="436"/>
      <c r="I8" s="436"/>
      <c r="J8" s="436"/>
    </row>
    <row r="9" spans="1:10" ht="14.45" customHeight="1">
      <c r="A9" s="440"/>
      <c r="B9" s="440"/>
      <c r="C9" s="436"/>
      <c r="D9" s="436"/>
      <c r="E9" s="436"/>
      <c r="F9" s="436"/>
      <c r="G9" s="436"/>
      <c r="H9" s="436"/>
      <c r="I9" s="436"/>
      <c r="J9" s="436"/>
    </row>
    <row r="10" spans="1:10" ht="14.45" customHeight="1">
      <c r="A10" s="440"/>
      <c r="B10" s="440"/>
      <c r="C10" s="436"/>
      <c r="D10" s="436"/>
      <c r="E10" s="436"/>
      <c r="F10" s="436"/>
      <c r="G10" s="436"/>
      <c r="H10" s="436"/>
      <c r="I10" s="436"/>
      <c r="J10" s="436"/>
    </row>
    <row r="11" spans="1:10" ht="14.45" customHeight="1">
      <c r="A11" s="440"/>
      <c r="B11" s="440"/>
      <c r="C11" s="436"/>
      <c r="D11" s="436"/>
      <c r="E11" s="436"/>
      <c r="F11" s="436"/>
      <c r="G11" s="436"/>
      <c r="H11" s="436"/>
      <c r="I11" s="436"/>
      <c r="J11" s="436"/>
    </row>
    <row r="12" spans="1:10" ht="14.45" customHeight="1">
      <c r="A12" s="440"/>
      <c r="B12" s="440"/>
      <c r="C12" s="436"/>
      <c r="D12" s="436"/>
      <c r="E12" s="436"/>
      <c r="F12" s="436"/>
      <c r="G12" s="436"/>
      <c r="H12" s="436"/>
      <c r="I12" s="436"/>
      <c r="J12" s="436"/>
    </row>
    <row r="13" spans="1:10" ht="14.45" customHeight="1">
      <c r="A13" s="440"/>
      <c r="B13" s="440"/>
      <c r="C13" s="436"/>
      <c r="D13" s="436"/>
      <c r="E13" s="436"/>
      <c r="F13" s="436"/>
      <c r="G13" s="436"/>
      <c r="H13" s="436"/>
      <c r="I13" s="436"/>
      <c r="J13" s="436"/>
    </row>
    <row r="14" spans="1:10" ht="14.45" customHeight="1">
      <c r="A14" s="273"/>
      <c r="B14" s="273"/>
      <c r="C14" s="274"/>
      <c r="D14" s="57"/>
      <c r="E14" s="57"/>
      <c r="F14" s="57"/>
      <c r="G14" s="57"/>
      <c r="H14" s="57"/>
      <c r="I14" s="57"/>
      <c r="J14" s="274"/>
    </row>
    <row r="15" spans="1:10" ht="14.45" customHeight="1">
      <c r="A15" s="440" t="s">
        <v>124</v>
      </c>
      <c r="B15" s="440"/>
      <c r="C15" s="436" t="s">
        <v>125</v>
      </c>
      <c r="D15" s="436"/>
      <c r="E15" s="436"/>
      <c r="F15" s="436"/>
      <c r="G15" s="436"/>
      <c r="H15" s="436"/>
      <c r="I15" s="436"/>
      <c r="J15" s="436"/>
    </row>
    <row r="16" spans="1:10" ht="14.45" customHeight="1">
      <c r="A16" s="440"/>
      <c r="B16" s="440"/>
      <c r="C16" s="436"/>
      <c r="D16" s="436"/>
      <c r="E16" s="436"/>
      <c r="F16" s="436"/>
      <c r="G16" s="436"/>
      <c r="H16" s="436"/>
      <c r="I16" s="436"/>
      <c r="J16" s="436"/>
    </row>
    <row r="17" spans="1:10" ht="14.45" customHeight="1">
      <c r="A17" s="440"/>
      <c r="B17" s="440"/>
      <c r="C17" s="436"/>
      <c r="D17" s="436"/>
      <c r="E17" s="436"/>
      <c r="F17" s="436"/>
      <c r="G17" s="436"/>
      <c r="H17" s="436"/>
      <c r="I17" s="436"/>
      <c r="J17" s="436"/>
    </row>
    <row r="18" spans="1:10" ht="14.45" customHeight="1">
      <c r="A18" s="440"/>
      <c r="B18" s="440"/>
      <c r="C18" s="436"/>
      <c r="D18" s="436"/>
      <c r="E18" s="436"/>
      <c r="F18" s="436"/>
      <c r="G18" s="436"/>
      <c r="H18" s="436"/>
      <c r="I18" s="436"/>
      <c r="J18" s="436"/>
    </row>
    <row r="19" spans="1:10" ht="14.45" customHeight="1">
      <c r="A19" s="440"/>
      <c r="B19" s="440"/>
      <c r="C19" s="436"/>
      <c r="D19" s="436"/>
      <c r="E19" s="436"/>
      <c r="F19" s="436"/>
      <c r="G19" s="436"/>
      <c r="H19" s="436"/>
      <c r="I19" s="436"/>
      <c r="J19" s="436"/>
    </row>
    <row r="20" spans="1:10" ht="14.45" customHeight="1">
      <c r="A20" s="440"/>
      <c r="B20" s="440"/>
      <c r="C20" s="436"/>
      <c r="D20" s="436"/>
      <c r="E20" s="436"/>
      <c r="F20" s="436"/>
      <c r="G20" s="436"/>
      <c r="H20" s="436"/>
      <c r="I20" s="436"/>
      <c r="J20" s="436"/>
    </row>
    <row r="21" spans="1:10" ht="14.45" customHeight="1">
      <c r="A21" s="440"/>
      <c r="B21" s="440"/>
      <c r="C21" s="436"/>
      <c r="D21" s="436"/>
      <c r="E21" s="436"/>
      <c r="F21" s="436"/>
      <c r="G21" s="436"/>
      <c r="H21" s="436"/>
      <c r="I21" s="436"/>
      <c r="J21" s="436"/>
    </row>
    <row r="22" spans="1:10" ht="14.45" customHeight="1">
      <c r="A22" s="440"/>
      <c r="B22" s="440"/>
      <c r="C22" s="436"/>
      <c r="D22" s="436"/>
      <c r="E22" s="436"/>
      <c r="F22" s="436"/>
      <c r="G22" s="436"/>
      <c r="H22" s="436"/>
      <c r="I22" s="436"/>
      <c r="J22" s="436"/>
    </row>
    <row r="23" spans="1:10" ht="14.45" customHeight="1">
      <c r="A23" s="440"/>
      <c r="B23" s="440"/>
      <c r="C23" s="436"/>
      <c r="D23" s="436"/>
      <c r="E23" s="436"/>
      <c r="F23" s="436"/>
      <c r="G23" s="436"/>
      <c r="H23" s="436"/>
      <c r="I23" s="436"/>
      <c r="J23" s="436"/>
    </row>
    <row r="24" spans="1:10" ht="14.45" customHeight="1">
      <c r="A24" s="273"/>
      <c r="B24" s="273"/>
      <c r="C24" s="274"/>
      <c r="D24" s="274"/>
      <c r="E24" s="57"/>
      <c r="F24" s="57"/>
      <c r="G24" s="57"/>
      <c r="H24" s="57"/>
      <c r="I24" s="57"/>
      <c r="J24" s="274"/>
    </row>
    <row r="25" spans="1:10" ht="14.45" customHeight="1">
      <c r="A25" s="439" t="s">
        <v>126</v>
      </c>
      <c r="B25" s="439"/>
      <c r="C25" s="436" t="s">
        <v>127</v>
      </c>
      <c r="D25" s="436"/>
      <c r="E25" s="436"/>
      <c r="F25" s="436"/>
      <c r="G25" s="436"/>
      <c r="H25" s="436"/>
      <c r="I25" s="436"/>
      <c r="J25" s="436"/>
    </row>
    <row r="26" spans="1:10" ht="14.45" customHeight="1">
      <c r="A26" s="439"/>
      <c r="B26" s="439"/>
      <c r="C26" s="436"/>
      <c r="D26" s="436"/>
      <c r="E26" s="436"/>
      <c r="F26" s="436"/>
      <c r="G26" s="436"/>
      <c r="H26" s="436"/>
      <c r="I26" s="436"/>
      <c r="J26" s="436"/>
    </row>
    <row r="27" spans="1:10" ht="24" customHeight="1">
      <c r="A27" s="439"/>
      <c r="B27" s="439"/>
      <c r="C27" s="436"/>
      <c r="D27" s="436"/>
      <c r="E27" s="436"/>
      <c r="F27" s="436"/>
      <c r="G27" s="436"/>
      <c r="H27" s="436"/>
      <c r="I27" s="436"/>
      <c r="J27" s="436"/>
    </row>
    <row r="28" spans="1:10" ht="14.45" customHeight="1">
      <c r="A28" s="273"/>
      <c r="B28" s="273"/>
      <c r="C28" s="57"/>
      <c r="D28" s="57"/>
      <c r="E28" s="57"/>
      <c r="F28" s="57"/>
      <c r="G28" s="57"/>
      <c r="H28" s="57"/>
      <c r="I28" s="57"/>
      <c r="J28" s="57"/>
    </row>
    <row r="29" spans="1:10" ht="14.45" customHeight="1">
      <c r="A29" s="440" t="s">
        <v>128</v>
      </c>
      <c r="B29" s="440"/>
      <c r="C29" s="436" t="s">
        <v>129</v>
      </c>
      <c r="D29" s="436"/>
      <c r="E29" s="436"/>
      <c r="F29" s="436"/>
      <c r="G29" s="436"/>
      <c r="H29" s="436"/>
      <c r="I29" s="436"/>
      <c r="J29" s="436"/>
    </row>
    <row r="30" spans="1:10" ht="14.45" customHeight="1">
      <c r="A30" s="440"/>
      <c r="B30" s="440"/>
      <c r="C30" s="436"/>
      <c r="D30" s="436"/>
      <c r="E30" s="436"/>
      <c r="F30" s="436"/>
      <c r="G30" s="436"/>
      <c r="H30" s="436"/>
      <c r="I30" s="436"/>
      <c r="J30" s="436"/>
    </row>
    <row r="31" spans="1:10" ht="14.45" customHeight="1">
      <c r="A31" s="440"/>
      <c r="B31" s="440"/>
      <c r="C31" s="436"/>
      <c r="D31" s="436"/>
      <c r="E31" s="436"/>
      <c r="F31" s="436"/>
      <c r="G31" s="436"/>
      <c r="H31" s="436"/>
      <c r="I31" s="436"/>
      <c r="J31" s="436"/>
    </row>
    <row r="32" spans="1:10" ht="14.45" customHeight="1">
      <c r="A32" s="440"/>
      <c r="B32" s="440"/>
      <c r="C32" s="436"/>
      <c r="D32" s="436"/>
      <c r="E32" s="436"/>
      <c r="F32" s="436"/>
      <c r="G32" s="436"/>
      <c r="H32" s="436"/>
      <c r="I32" s="436"/>
      <c r="J32" s="436"/>
    </row>
    <row r="33" spans="1:10" ht="14.45" customHeight="1">
      <c r="A33" s="440"/>
      <c r="B33" s="440"/>
      <c r="C33" s="436"/>
      <c r="D33" s="436"/>
      <c r="E33" s="436"/>
      <c r="F33" s="436"/>
      <c r="G33" s="436"/>
      <c r="H33" s="436"/>
      <c r="I33" s="436"/>
      <c r="J33" s="436"/>
    </row>
    <row r="34" spans="1:10" ht="14.45" customHeight="1">
      <c r="A34" s="440"/>
      <c r="B34" s="440"/>
      <c r="C34" s="436"/>
      <c r="D34" s="436"/>
      <c r="E34" s="436"/>
      <c r="F34" s="436"/>
      <c r="G34" s="436"/>
      <c r="H34" s="436"/>
      <c r="I34" s="436"/>
      <c r="J34" s="436"/>
    </row>
    <row r="35" spans="1:10" ht="14.45" customHeight="1">
      <c r="A35" s="440"/>
      <c r="B35" s="440"/>
      <c r="C35" s="436"/>
      <c r="D35" s="436"/>
      <c r="E35" s="436"/>
      <c r="F35" s="436"/>
      <c r="G35" s="436"/>
      <c r="H35" s="436"/>
      <c r="I35" s="436"/>
      <c r="J35" s="436"/>
    </row>
    <row r="36" spans="1:10" ht="14.45" customHeight="1">
      <c r="A36" s="440"/>
      <c r="B36" s="440"/>
      <c r="C36" s="436"/>
      <c r="D36" s="436"/>
      <c r="E36" s="436"/>
      <c r="F36" s="436"/>
      <c r="G36" s="436"/>
      <c r="H36" s="436"/>
      <c r="I36" s="436"/>
      <c r="J36" s="436"/>
    </row>
    <row r="37" spans="1:10" ht="14.45" customHeight="1">
      <c r="A37" s="440"/>
      <c r="B37" s="440"/>
      <c r="C37" s="436"/>
      <c r="D37" s="436"/>
      <c r="E37" s="436"/>
      <c r="F37" s="436"/>
      <c r="G37" s="436"/>
      <c r="H37" s="436"/>
      <c r="I37" s="436"/>
      <c r="J37" s="436"/>
    </row>
    <row r="38" spans="1:10" ht="14.45" customHeight="1">
      <c r="A38" s="440"/>
      <c r="B38" s="440"/>
      <c r="C38" s="436"/>
      <c r="D38" s="436"/>
      <c r="E38" s="436"/>
      <c r="F38" s="436"/>
      <c r="G38" s="436"/>
      <c r="H38" s="436"/>
      <c r="I38" s="436"/>
      <c r="J38" s="436"/>
    </row>
    <row r="39" spans="1:10" ht="14.45" customHeight="1">
      <c r="C39" s="57"/>
      <c r="D39" s="57"/>
      <c r="E39" s="57"/>
      <c r="F39" s="57"/>
      <c r="G39" s="57"/>
      <c r="H39" s="57"/>
      <c r="I39" s="57"/>
      <c r="J39" s="57"/>
    </row>
    <row r="40" spans="1:10" ht="14.45" customHeight="1">
      <c r="A40" s="437" t="s">
        <v>130</v>
      </c>
      <c r="B40" s="437"/>
      <c r="C40" s="436" t="s">
        <v>131</v>
      </c>
      <c r="D40" s="436"/>
      <c r="E40" s="436"/>
      <c r="F40" s="436"/>
      <c r="G40" s="436"/>
      <c r="H40" s="436"/>
      <c r="I40" s="436"/>
      <c r="J40" s="436"/>
    </row>
    <row r="41" spans="1:10" ht="14.45" customHeight="1">
      <c r="A41" s="437"/>
      <c r="B41" s="437"/>
      <c r="C41" s="436"/>
      <c r="D41" s="436"/>
      <c r="E41" s="436"/>
      <c r="F41" s="436"/>
      <c r="G41" s="436"/>
      <c r="H41" s="436"/>
      <c r="I41" s="436"/>
      <c r="J41" s="436"/>
    </row>
    <row r="42" spans="1:10" ht="14.45" customHeight="1">
      <c r="A42" s="437"/>
      <c r="B42" s="437"/>
      <c r="C42" s="436"/>
      <c r="D42" s="436"/>
      <c r="E42" s="436"/>
      <c r="F42" s="436"/>
      <c r="G42" s="436"/>
      <c r="H42" s="436"/>
      <c r="I42" s="436"/>
      <c r="J42" s="436"/>
    </row>
    <row r="43" spans="1:10" ht="14.45" customHeight="1">
      <c r="A43" s="437"/>
      <c r="B43" s="437"/>
      <c r="C43" s="436"/>
      <c r="D43" s="436"/>
      <c r="E43" s="436"/>
      <c r="F43" s="436"/>
      <c r="G43" s="436"/>
      <c r="H43" s="436"/>
      <c r="I43" s="436"/>
      <c r="J43" s="436"/>
    </row>
    <row r="44" spans="1:10" ht="14.45" customHeight="1">
      <c r="A44" s="437"/>
      <c r="B44" s="437"/>
      <c r="C44" s="436"/>
      <c r="D44" s="436"/>
      <c r="E44" s="436"/>
      <c r="F44" s="436"/>
      <c r="G44" s="436"/>
      <c r="H44" s="436"/>
      <c r="I44" s="436"/>
      <c r="J44" s="436"/>
    </row>
    <row r="45" spans="1:10" ht="14.45" customHeight="1">
      <c r="A45" s="437"/>
      <c r="B45" s="437"/>
      <c r="C45" s="436"/>
      <c r="D45" s="436"/>
      <c r="E45" s="436"/>
      <c r="F45" s="436"/>
      <c r="G45" s="436"/>
      <c r="H45" s="436"/>
      <c r="I45" s="436"/>
      <c r="J45" s="436"/>
    </row>
    <row r="46" spans="1:10" ht="14.45" customHeight="1">
      <c r="A46" s="437"/>
      <c r="B46" s="437"/>
      <c r="C46" s="436"/>
      <c r="D46" s="436"/>
      <c r="E46" s="436"/>
      <c r="F46" s="436"/>
      <c r="G46" s="436"/>
      <c r="H46" s="436"/>
      <c r="I46" s="436"/>
      <c r="J46" s="436"/>
    </row>
    <row r="47" spans="1:10" ht="14.45" customHeight="1">
      <c r="C47" s="436"/>
      <c r="D47" s="436"/>
      <c r="E47" s="436"/>
      <c r="F47" s="436"/>
      <c r="G47" s="436"/>
      <c r="H47" s="436"/>
      <c r="I47" s="436"/>
      <c r="J47" s="436"/>
    </row>
    <row r="48" spans="1:10" ht="14.45" customHeight="1">
      <c r="C48" s="436"/>
      <c r="D48" s="436"/>
      <c r="E48" s="436"/>
      <c r="F48" s="436"/>
      <c r="G48" s="436"/>
      <c r="H48" s="436"/>
      <c r="I48" s="436"/>
      <c r="J48" s="436"/>
    </row>
    <row r="49" spans="3:10" ht="14.45" customHeight="1">
      <c r="C49" s="58"/>
      <c r="D49" s="58"/>
      <c r="E49" s="58"/>
      <c r="F49" s="58"/>
      <c r="G49" s="58"/>
      <c r="H49" s="58"/>
      <c r="I49" s="58"/>
      <c r="J49" s="58"/>
    </row>
    <row r="50" spans="3:10" ht="14.45" customHeight="1"/>
    <row r="51" spans="3:10" ht="14.45" customHeight="1"/>
    <row r="52" spans="3:10" ht="14.45" customHeight="1"/>
    <row r="53" spans="3:10" ht="14.45" customHeight="1"/>
    <row r="54" spans="3:10" ht="14.45" customHeight="1"/>
    <row r="55" spans="3:10" ht="14.45" customHeight="1"/>
    <row r="56" spans="3:10" ht="14.45" customHeight="1"/>
    <row r="57" spans="3:10" ht="14.45" customHeight="1"/>
    <row r="58" spans="3:10" ht="14.45" customHeight="1"/>
    <row r="59" spans="3:10" ht="14.45" customHeight="1"/>
    <row r="60" spans="3:10" ht="14.45" customHeight="1"/>
    <row r="61" spans="3:10" ht="14.45" customHeight="1"/>
    <row r="62" spans="3:10" ht="14.45" customHeight="1"/>
    <row r="63" spans="3:10" ht="14.45" customHeight="1"/>
    <row r="64" spans="3:10" ht="14.45" customHeight="1"/>
    <row r="65" ht="14.45" customHeight="1"/>
    <row r="66" ht="14.45" customHeight="1"/>
    <row r="67" ht="14.45" customHeight="1"/>
    <row r="68" ht="14.45" customHeight="1"/>
    <row r="69" ht="14.45" customHeight="1"/>
    <row r="70" ht="14.45" customHeight="1"/>
    <row r="71" ht="14.45" customHeight="1"/>
    <row r="72" ht="14.45" customHeight="1"/>
    <row r="73" ht="14.45" customHeight="1"/>
    <row r="74" ht="14.45" customHeight="1"/>
    <row r="75" ht="14.45" customHeight="1"/>
    <row r="76" ht="14.45" customHeight="1"/>
    <row r="77" ht="14.45" customHeight="1"/>
    <row r="78" ht="14.45" customHeight="1"/>
    <row r="79" ht="14.45" customHeight="1"/>
    <row r="80" ht="14.45" customHeight="1"/>
  </sheetData>
  <sheetProtection algorithmName="SHA-512" hashValue="Fv22r2tf8O109bG3aprbKMVbnXvntf3dZ/xMXOn75uUUBTrD8MJszvD8J5wDSh8kbWXIF5h7Psbiq6MHJiZAnA==" saltValue="cfq4lMp65rkzJi8cH861pg==" spinCount="100000" sheet="1" objects="1" scenarios="1"/>
  <mergeCells count="11">
    <mergeCell ref="C40:J48"/>
    <mergeCell ref="A40:B46"/>
    <mergeCell ref="D1:I4"/>
    <mergeCell ref="C25:J27"/>
    <mergeCell ref="A25:B27"/>
    <mergeCell ref="C29:J38"/>
    <mergeCell ref="A29:B38"/>
    <mergeCell ref="A7:B13"/>
    <mergeCell ref="C15:J23"/>
    <mergeCell ref="A15:B23"/>
    <mergeCell ref="C7:J1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>
    <tabColor theme="8" tint="-0.249977111117893"/>
    <pageSetUpPr fitToPage="1"/>
  </sheetPr>
  <dimension ref="A1:K28"/>
  <sheetViews>
    <sheetView showGridLines="0" view="pageBreakPreview" zoomScale="85" zoomScaleNormal="130" zoomScaleSheetLayoutView="85" zoomScalePageLayoutView="40" workbookViewId="0">
      <selection activeCell="C9" sqref="C9:E25"/>
    </sheetView>
  </sheetViews>
  <sheetFormatPr defaultColWidth="9.140625" defaultRowHeight="15.75"/>
  <cols>
    <col min="1" max="1" width="12.140625" style="53" customWidth="1"/>
    <col min="2" max="2" width="42.7109375" style="53" customWidth="1"/>
    <col min="3" max="3" width="20.7109375" style="53" customWidth="1"/>
    <col min="4" max="4" width="13.7109375" style="53" customWidth="1"/>
    <col min="5" max="5" width="39.42578125" style="53" bestFit="1" customWidth="1"/>
    <col min="6" max="6" width="1.5703125" style="53" customWidth="1"/>
    <col min="7" max="7" width="3.7109375" style="53" customWidth="1"/>
    <col min="8" max="8" width="14.85546875" style="53" customWidth="1"/>
    <col min="9" max="10" width="9.140625" style="53" customWidth="1"/>
    <col min="11" max="11" width="5.42578125" style="53" customWidth="1"/>
    <col min="12" max="16384" width="9.140625" style="53"/>
  </cols>
  <sheetData>
    <row r="1" spans="1:11" ht="19.899999999999999" customHeight="1">
      <c r="A1" s="438" t="s">
        <v>0</v>
      </c>
      <c r="B1" s="438"/>
      <c r="C1" s="438"/>
      <c r="D1" s="438"/>
      <c r="E1" s="438"/>
      <c r="F1" s="438"/>
      <c r="G1" s="438"/>
      <c r="H1" s="438"/>
      <c r="I1" s="56"/>
      <c r="J1" s="56"/>
      <c r="K1" s="56"/>
    </row>
    <row r="2" spans="1:11" ht="19.899999999999999" customHeight="1">
      <c r="A2" s="438"/>
      <c r="B2" s="438"/>
      <c r="C2" s="438"/>
      <c r="D2" s="438"/>
      <c r="E2" s="438"/>
      <c r="F2" s="438"/>
      <c r="G2" s="438"/>
      <c r="H2" s="438"/>
      <c r="I2" s="56"/>
      <c r="J2" s="56"/>
      <c r="K2" s="56"/>
    </row>
    <row r="3" spans="1:11" ht="19.899999999999999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9.899999999999999" customHeight="1">
      <c r="A4" s="59" t="s">
        <v>132</v>
      </c>
      <c r="B4" s="60"/>
      <c r="C4" s="60"/>
      <c r="F4" s="60"/>
      <c r="G4" s="62" t="s">
        <v>133</v>
      </c>
      <c r="H4" s="210" t="str">
        <f>Capa!C51</f>
        <v>Inserir data na capa</v>
      </c>
      <c r="I4" s="154"/>
    </row>
    <row r="5" spans="1:11" ht="19.899999999999999" customHeight="1">
      <c r="A5" s="59" t="s">
        <v>134</v>
      </c>
      <c r="B5" s="64" t="str">
        <f>Capa!B25</f>
        <v>CBH DOCE</v>
      </c>
      <c r="C5" s="60"/>
      <c r="D5" s="60"/>
      <c r="E5" s="60"/>
      <c r="F5" s="60"/>
      <c r="G5" s="65"/>
      <c r="H5" s="66"/>
    </row>
    <row r="6" spans="1:11" ht="19.899999999999999" customHeight="1">
      <c r="A6" s="59" t="s">
        <v>135</v>
      </c>
      <c r="B6" s="64" t="str">
        <f>Capa!B30</f>
        <v>Resplendor/MG</v>
      </c>
      <c r="C6" s="60"/>
      <c r="E6" s="60"/>
      <c r="F6" s="60"/>
      <c r="G6" s="61"/>
      <c r="H6" s="67"/>
    </row>
    <row r="7" spans="1:11" ht="19.899999999999999" customHeight="1"/>
    <row r="8" spans="1:11" ht="19.899999999999999" customHeight="1">
      <c r="A8" s="441" t="s">
        <v>136</v>
      </c>
      <c r="B8" s="441"/>
      <c r="C8" s="75" t="s">
        <v>137</v>
      </c>
      <c r="D8" s="75" t="s">
        <v>138</v>
      </c>
      <c r="E8" s="75" t="s">
        <v>139</v>
      </c>
      <c r="F8" s="68"/>
      <c r="I8" s="69"/>
      <c r="J8" s="69"/>
      <c r="K8" s="69"/>
    </row>
    <row r="9" spans="1:11" ht="28.5" customHeight="1">
      <c r="A9" s="442" t="s">
        <v>140</v>
      </c>
      <c r="B9" s="442"/>
      <c r="C9" s="303" t="s">
        <v>300</v>
      </c>
      <c r="D9" s="217"/>
      <c r="E9" s="217"/>
      <c r="F9" s="68"/>
      <c r="I9" s="69"/>
      <c r="J9" s="69"/>
      <c r="K9" s="69"/>
    </row>
    <row r="10" spans="1:11" ht="19.899999999999999" customHeight="1">
      <c r="A10" s="156" t="s">
        <v>141</v>
      </c>
      <c r="B10" s="156"/>
      <c r="C10" s="209">
        <v>17226</v>
      </c>
      <c r="D10" s="157" t="s">
        <v>142</v>
      </c>
      <c r="E10" s="157" t="s">
        <v>301</v>
      </c>
      <c r="F10" s="71"/>
      <c r="G10" s="68" t="s">
        <v>143</v>
      </c>
      <c r="H10" s="69"/>
      <c r="I10" s="69"/>
      <c r="J10" s="69"/>
      <c r="K10" s="69"/>
    </row>
    <row r="11" spans="1:11" ht="19.899999999999999" customHeight="1">
      <c r="A11" s="156" t="s">
        <v>144</v>
      </c>
      <c r="B11" s="156"/>
      <c r="C11" s="209">
        <v>12832</v>
      </c>
      <c r="D11" s="157" t="s">
        <v>142</v>
      </c>
      <c r="E11" s="157" t="s">
        <v>302</v>
      </c>
      <c r="F11" s="71"/>
      <c r="G11" s="205"/>
      <c r="H11" s="70" t="s">
        <v>145</v>
      </c>
      <c r="I11" s="69"/>
      <c r="J11" s="69"/>
      <c r="K11" s="69"/>
    </row>
    <row r="12" spans="1:11" ht="19.899999999999999" customHeight="1">
      <c r="A12" s="156" t="s">
        <v>146</v>
      </c>
      <c r="B12" s="156"/>
      <c r="C12" s="209">
        <v>17226</v>
      </c>
      <c r="D12" s="157" t="s">
        <v>142</v>
      </c>
      <c r="E12" s="157" t="s">
        <v>301</v>
      </c>
      <c r="F12" s="71"/>
      <c r="G12" s="206"/>
      <c r="H12" s="70" t="s">
        <v>147</v>
      </c>
      <c r="I12" s="69"/>
      <c r="J12" s="69"/>
      <c r="K12" s="69"/>
    </row>
    <row r="13" spans="1:11" ht="19.899999999999999" customHeight="1">
      <c r="A13" s="156" t="s">
        <v>148</v>
      </c>
      <c r="B13" s="156"/>
      <c r="C13" s="209">
        <v>560</v>
      </c>
      <c r="D13" s="157" t="s">
        <v>142</v>
      </c>
      <c r="E13" s="157" t="s">
        <v>303</v>
      </c>
      <c r="F13" s="71"/>
      <c r="G13" s="69"/>
      <c r="H13" s="69"/>
      <c r="I13" s="69"/>
      <c r="J13" s="69"/>
      <c r="K13" s="69"/>
    </row>
    <row r="14" spans="1:11" ht="19.899999999999999" customHeight="1">
      <c r="A14" s="158" t="s">
        <v>149</v>
      </c>
      <c r="B14" s="158"/>
      <c r="C14" s="216">
        <v>1081.796</v>
      </c>
      <c r="D14" s="157" t="s">
        <v>150</v>
      </c>
      <c r="E14" s="157" t="s">
        <v>301</v>
      </c>
      <c r="F14" s="71"/>
      <c r="G14" s="69"/>
      <c r="H14" s="69"/>
      <c r="I14" s="69"/>
      <c r="J14" s="69"/>
      <c r="K14" s="69"/>
    </row>
    <row r="15" spans="1:11" ht="19.899999999999999" customHeight="1">
      <c r="A15" s="156" t="s">
        <v>151</v>
      </c>
      <c r="B15" s="156"/>
      <c r="C15" s="302">
        <f>0.14+0.12</f>
        <v>0.26</v>
      </c>
      <c r="D15" s="157" t="s">
        <v>150</v>
      </c>
      <c r="E15" s="157" t="s">
        <v>152</v>
      </c>
      <c r="F15" s="71"/>
      <c r="G15" s="215"/>
      <c r="H15" s="69"/>
      <c r="I15" s="69"/>
      <c r="J15" s="69"/>
      <c r="K15" s="69"/>
    </row>
    <row r="16" spans="1:11" ht="19.899999999999999" customHeight="1">
      <c r="A16" s="156" t="s">
        <v>153</v>
      </c>
      <c r="B16" s="156"/>
      <c r="C16" s="208">
        <f>C11/C17</f>
        <v>2.9404216315307057</v>
      </c>
      <c r="D16" s="157" t="s">
        <v>154</v>
      </c>
      <c r="E16" s="157" t="s">
        <v>297</v>
      </c>
      <c r="F16" s="71"/>
      <c r="G16" s="69"/>
      <c r="H16" s="69"/>
      <c r="I16" s="69"/>
      <c r="J16" s="69"/>
      <c r="K16" s="69"/>
    </row>
    <row r="17" spans="1:11" ht="19.899999999999999" customHeight="1">
      <c r="A17" s="156" t="s">
        <v>155</v>
      </c>
      <c r="B17" s="156"/>
      <c r="C17" s="207">
        <v>4364</v>
      </c>
      <c r="D17" s="157" t="s">
        <v>156</v>
      </c>
      <c r="E17" s="157" t="s">
        <v>297</v>
      </c>
      <c r="F17" s="71"/>
      <c r="G17" s="69"/>
      <c r="H17" s="69"/>
      <c r="I17" s="69"/>
      <c r="J17" s="69"/>
      <c r="K17" s="69"/>
    </row>
    <row r="18" spans="1:11" ht="19.899999999999999" customHeight="1">
      <c r="A18" s="156" t="s">
        <v>157</v>
      </c>
      <c r="B18" s="156"/>
      <c r="C18" s="218">
        <v>0.71699999999999997</v>
      </c>
      <c r="D18" s="157" t="s">
        <v>158</v>
      </c>
      <c r="E18" s="157" t="s">
        <v>297</v>
      </c>
      <c r="F18" s="71"/>
      <c r="G18" s="69"/>
      <c r="H18" s="69"/>
      <c r="I18" s="69"/>
      <c r="J18" s="69"/>
      <c r="K18" s="69"/>
    </row>
    <row r="19" spans="1:11" ht="19.899999999999999" customHeight="1">
      <c r="A19" s="156" t="s">
        <v>159</v>
      </c>
      <c r="B19" s="156"/>
      <c r="C19" s="408">
        <f>C23/C16</f>
        <v>190.44887780548629</v>
      </c>
      <c r="D19" s="157" t="s">
        <v>156</v>
      </c>
      <c r="E19" s="157" t="s">
        <v>147</v>
      </c>
      <c r="F19" s="71"/>
      <c r="G19" s="69"/>
      <c r="H19" s="69"/>
      <c r="I19" s="69"/>
      <c r="J19" s="69"/>
      <c r="K19" s="69"/>
    </row>
    <row r="20" spans="1:11" ht="19.899999999999999" customHeight="1">
      <c r="A20" s="156" t="s">
        <v>160</v>
      </c>
      <c r="B20" s="156"/>
      <c r="C20" s="406">
        <f>C19*C18</f>
        <v>136.55184538653367</v>
      </c>
      <c r="D20" s="157" t="s">
        <v>156</v>
      </c>
      <c r="E20" s="157" t="s">
        <v>147</v>
      </c>
      <c r="F20" s="71"/>
      <c r="G20" s="69"/>
      <c r="H20" s="69"/>
      <c r="I20" s="69"/>
      <c r="J20" s="69"/>
      <c r="K20" s="69"/>
    </row>
    <row r="21" spans="1:11" ht="19.899999999999999" customHeight="1">
      <c r="A21" s="156" t="s">
        <v>161</v>
      </c>
      <c r="B21" s="156"/>
      <c r="C21" s="213">
        <f>38820/C17</f>
        <v>8.8955087076077</v>
      </c>
      <c r="D21" s="157" t="s">
        <v>162</v>
      </c>
      <c r="E21" s="157" t="s">
        <v>298</v>
      </c>
      <c r="F21" s="71"/>
      <c r="G21" s="69"/>
      <c r="H21" s="69"/>
      <c r="I21" s="69"/>
      <c r="J21" s="69"/>
      <c r="K21" s="69"/>
    </row>
    <row r="22" spans="1:11" ht="19.899999999999999" customHeight="1">
      <c r="A22" s="219" t="s">
        <v>163</v>
      </c>
      <c r="B22" s="219"/>
      <c r="C22" s="213">
        <v>20</v>
      </c>
      <c r="D22" s="157" t="s">
        <v>156</v>
      </c>
      <c r="E22" s="157" t="s">
        <v>303</v>
      </c>
      <c r="F22" s="71"/>
      <c r="G22" s="69"/>
      <c r="H22" s="69"/>
      <c r="I22" s="69"/>
      <c r="J22" s="69"/>
      <c r="K22" s="69"/>
    </row>
    <row r="23" spans="1:11" ht="19.899999999999999" customHeight="1">
      <c r="A23" s="203" t="s">
        <v>164</v>
      </c>
      <c r="B23" s="203"/>
      <c r="C23" s="214">
        <f>C13</f>
        <v>560</v>
      </c>
      <c r="D23" s="157" t="s">
        <v>142</v>
      </c>
      <c r="E23" s="157" t="s">
        <v>303</v>
      </c>
      <c r="F23" s="71"/>
      <c r="G23" s="69"/>
      <c r="H23" s="69"/>
      <c r="I23" s="69"/>
      <c r="J23" s="69"/>
      <c r="K23" s="69"/>
    </row>
    <row r="24" spans="1:11" ht="19.899999999999999" customHeight="1">
      <c r="A24" s="204" t="s">
        <v>165</v>
      </c>
      <c r="B24" s="204"/>
      <c r="C24" s="409">
        <v>1.66</v>
      </c>
      <c r="D24" s="157" t="s">
        <v>166</v>
      </c>
      <c r="E24" s="157" t="s">
        <v>303</v>
      </c>
      <c r="F24" s="71"/>
      <c r="G24" s="69"/>
      <c r="H24" s="69"/>
      <c r="I24" s="69"/>
      <c r="J24" s="69"/>
      <c r="K24" s="69"/>
    </row>
    <row r="25" spans="1:11" ht="19.899999999999999" customHeight="1">
      <c r="A25" s="204" t="s">
        <v>167</v>
      </c>
      <c r="B25" s="204"/>
      <c r="C25" s="409">
        <v>0.65</v>
      </c>
      <c r="D25" s="157" t="s">
        <v>166</v>
      </c>
      <c r="E25" s="157" t="s">
        <v>303</v>
      </c>
      <c r="F25" s="68"/>
      <c r="G25" s="69"/>
      <c r="H25" s="69"/>
      <c r="I25" s="69"/>
      <c r="J25" s="69"/>
      <c r="K25" s="69"/>
    </row>
    <row r="26" spans="1:11" ht="19.899999999999999" customHeight="1">
      <c r="A26" s="443" t="s">
        <v>168</v>
      </c>
      <c r="B26" s="443"/>
      <c r="C26" s="443"/>
      <c r="D26" s="443"/>
      <c r="E26" s="443"/>
      <c r="F26" s="443"/>
      <c r="G26" s="443"/>
      <c r="H26" s="443"/>
    </row>
    <row r="27" spans="1:11" s="73" customFormat="1" ht="19.899999999999999" customHeight="1">
      <c r="A27" s="443"/>
      <c r="B27" s="443"/>
      <c r="C27" s="443"/>
      <c r="D27" s="443"/>
      <c r="E27" s="443"/>
      <c r="F27" s="443"/>
      <c r="G27" s="443"/>
      <c r="H27" s="443"/>
    </row>
    <row r="28" spans="1:11" ht="19.899999999999999" customHeight="1">
      <c r="A28" s="74"/>
      <c r="B28" s="74"/>
      <c r="C28" s="74"/>
      <c r="D28" s="74"/>
      <c r="E28" s="74"/>
    </row>
  </sheetData>
  <sheetProtection algorithmName="SHA-512" hashValue="7nFMixSMkiIUXrozY0f55qKjNl6UifqMr9V9S37PuV9qGsxYnS5Tn23CJDN2XkcMVFrfWKQPjhuCnaX0reVY5A==" saltValue="cfrCvqQP7fTRMGRvIhfq/g==" spinCount="100000" sheet="1" objects="1" scenarios="1"/>
  <mergeCells count="4">
    <mergeCell ref="A8:B8"/>
    <mergeCell ref="A1:H2"/>
    <mergeCell ref="A9:B9"/>
    <mergeCell ref="A26:H27"/>
  </mergeCells>
  <printOptions horizontalCentered="1"/>
  <pageMargins left="0.51181102362204722" right="0.51181102362204722" top="0.47244094488188981" bottom="0.78740157480314965" header="0.31496062992125984" footer="0.31496062992125984"/>
  <pageSetup paperSize="9" scale="91" fitToHeight="0" orientation="landscape" r:id="rId1"/>
  <cellWatches>
    <cellWatch r="C25"/>
  </cellWatche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6">
    <tabColor theme="8" tint="-0.249977111117893"/>
    <pageSetUpPr fitToPage="1"/>
  </sheetPr>
  <dimension ref="A1:L61"/>
  <sheetViews>
    <sheetView showGridLines="0" view="pageBreakPreview" zoomScale="60" workbookViewId="0">
      <selection activeCell="K49" sqref="K49"/>
    </sheetView>
  </sheetViews>
  <sheetFormatPr defaultColWidth="9.140625" defaultRowHeight="12.75" zeroHeight="1"/>
  <cols>
    <col min="1" max="1" width="14" style="226" customWidth="1"/>
    <col min="2" max="2" width="4.7109375" style="226" customWidth="1"/>
    <col min="3" max="3" width="56.85546875" style="226" customWidth="1"/>
    <col min="4" max="4" width="12.85546875" style="230" bestFit="1" customWidth="1"/>
    <col min="5" max="5" width="10.7109375" style="227" customWidth="1"/>
    <col min="6" max="6" width="14" style="227" customWidth="1"/>
    <col min="7" max="7" width="14" style="231" customWidth="1"/>
    <col min="8" max="8" width="2.7109375" style="226" customWidth="1"/>
    <col min="9" max="9" width="13.42578125" style="226" bestFit="1" customWidth="1"/>
    <col min="10" max="10" width="14.5703125" style="226" bestFit="1" customWidth="1"/>
    <col min="11" max="11" width="13.42578125" style="226" bestFit="1" customWidth="1"/>
    <col min="12" max="12" width="14.5703125" style="226" bestFit="1" customWidth="1"/>
    <col min="13" max="16384" width="9.140625" style="226"/>
  </cols>
  <sheetData>
    <row r="1" spans="1:12" ht="19.899999999999999" customHeight="1">
      <c r="A1" s="445" t="s">
        <v>169</v>
      </c>
      <c r="B1" s="445"/>
      <c r="C1" s="445"/>
      <c r="D1" s="445"/>
      <c r="E1" s="445"/>
      <c r="F1" s="445"/>
      <c r="G1" s="445"/>
    </row>
    <row r="2" spans="1:12" ht="19.899999999999999" customHeight="1">
      <c r="A2" s="445"/>
      <c r="B2" s="445"/>
      <c r="C2" s="445"/>
      <c r="D2" s="445"/>
      <c r="E2" s="445"/>
      <c r="F2" s="445"/>
      <c r="G2" s="445"/>
    </row>
    <row r="3" spans="1:12" ht="19.899999999999999" customHeight="1">
      <c r="A3" s="360" t="s">
        <v>170</v>
      </c>
      <c r="B3" s="360"/>
      <c r="C3" s="392"/>
      <c r="D3" s="392"/>
      <c r="F3" s="338" t="s">
        <v>133</v>
      </c>
      <c r="G3" s="341" t="str">
        <f>Município!H4</f>
        <v>Inserir data na capa</v>
      </c>
    </row>
    <row r="4" spans="1:12" ht="19.899999999999999" customHeight="1">
      <c r="A4" s="360" t="s">
        <v>134</v>
      </c>
      <c r="B4" s="360"/>
      <c r="C4" s="390" t="str">
        <f>Município!B5</f>
        <v>CBH DOCE</v>
      </c>
      <c r="D4" s="392"/>
      <c r="E4" s="392"/>
      <c r="F4" s="392"/>
      <c r="G4" s="392"/>
    </row>
    <row r="5" spans="1:12" ht="19.899999999999999" customHeight="1">
      <c r="A5" s="360" t="s">
        <v>135</v>
      </c>
      <c r="B5" s="360"/>
      <c r="C5" s="390" t="str">
        <f>Município!B6</f>
        <v>Resplendor/MG</v>
      </c>
      <c r="D5" s="392"/>
      <c r="E5" s="392"/>
      <c r="F5" s="392"/>
      <c r="G5" s="392"/>
    </row>
    <row r="6" spans="1:12" ht="9" customHeight="1">
      <c r="A6" s="350"/>
      <c r="B6" s="350"/>
      <c r="C6" s="350"/>
      <c r="D6" s="228"/>
      <c r="E6" s="226"/>
      <c r="F6" s="226"/>
      <c r="G6" s="226"/>
    </row>
    <row r="7" spans="1:12" ht="19.899999999999999" customHeight="1">
      <c r="A7" s="446" t="s">
        <v>7</v>
      </c>
      <c r="B7" s="446" t="s">
        <v>171</v>
      </c>
      <c r="C7" s="446"/>
      <c r="D7" s="349" t="s">
        <v>172</v>
      </c>
      <c r="E7" s="447" t="s">
        <v>138</v>
      </c>
      <c r="F7" s="446" t="s">
        <v>173</v>
      </c>
      <c r="G7" s="446"/>
    </row>
    <row r="8" spans="1:12" ht="19.899999999999999" customHeight="1">
      <c r="A8" s="446"/>
      <c r="B8" s="446"/>
      <c r="C8" s="446"/>
      <c r="D8" s="347" t="s">
        <v>174</v>
      </c>
      <c r="E8" s="447"/>
      <c r="F8" s="347" t="s">
        <v>175</v>
      </c>
      <c r="G8" s="347" t="s">
        <v>176</v>
      </c>
    </row>
    <row r="9" spans="1:12" ht="7.5" customHeight="1">
      <c r="A9" s="350"/>
      <c r="B9" s="350"/>
      <c r="C9" s="350"/>
      <c r="D9" s="350"/>
      <c r="E9" s="369"/>
      <c r="F9" s="369"/>
      <c r="G9" s="350"/>
    </row>
    <row r="10" spans="1:12" ht="19.5" customHeight="1">
      <c r="A10" s="366">
        <v>1</v>
      </c>
      <c r="B10" s="377" t="s">
        <v>177</v>
      </c>
      <c r="C10" s="377"/>
      <c r="D10" s="344"/>
      <c r="E10" s="344"/>
      <c r="F10" s="344"/>
      <c r="G10" s="344"/>
      <c r="I10" s="444"/>
      <c r="J10" s="444"/>
      <c r="K10" s="444"/>
      <c r="L10" s="444"/>
    </row>
    <row r="11" spans="1:12" ht="6.6" customHeight="1">
      <c r="A11" s="384"/>
      <c r="B11" s="384"/>
      <c r="C11" s="373"/>
      <c r="D11" s="337"/>
      <c r="E11" s="335"/>
      <c r="F11" s="335"/>
      <c r="G11" s="337"/>
      <c r="I11" s="444"/>
      <c r="J11" s="444"/>
      <c r="K11" s="444"/>
      <c r="L11" s="444"/>
    </row>
    <row r="12" spans="1:12" ht="19.5" customHeight="1">
      <c r="A12" s="356" t="s">
        <v>28</v>
      </c>
      <c r="B12" s="361" t="s">
        <v>178</v>
      </c>
      <c r="C12" s="361"/>
      <c r="D12" s="359"/>
      <c r="E12" s="361"/>
      <c r="F12" s="361"/>
      <c r="G12" s="348"/>
      <c r="I12" s="318"/>
      <c r="J12" s="319"/>
      <c r="K12" s="318"/>
      <c r="L12" s="319"/>
    </row>
    <row r="13" spans="1:12" ht="19.5" customHeight="1">
      <c r="A13" s="354" t="s">
        <v>179</v>
      </c>
      <c r="B13" s="387" t="s">
        <v>180</v>
      </c>
      <c r="C13" s="387"/>
      <c r="D13" s="398" t="s">
        <v>296</v>
      </c>
      <c r="E13" s="399" t="s">
        <v>181</v>
      </c>
      <c r="F13" s="405" t="s">
        <v>296</v>
      </c>
      <c r="G13" s="343" t="e">
        <f>ROUND(F13/D13,2)</f>
        <v>#VALUE!</v>
      </c>
      <c r="I13" s="320"/>
      <c r="J13" s="321"/>
      <c r="K13" s="319"/>
      <c r="L13" s="319"/>
    </row>
    <row r="14" spans="1:12" ht="19.5" customHeight="1">
      <c r="A14" s="354" t="s">
        <v>182</v>
      </c>
      <c r="B14" s="353" t="s">
        <v>183</v>
      </c>
      <c r="C14" s="353"/>
      <c r="D14" s="400" t="s">
        <v>296</v>
      </c>
      <c r="E14" s="401" t="s">
        <v>181</v>
      </c>
      <c r="F14" s="405" t="s">
        <v>296</v>
      </c>
      <c r="G14" s="343" t="e">
        <f>ROUND(F14/D14,2)</f>
        <v>#VALUE!</v>
      </c>
      <c r="I14" s="320"/>
      <c r="J14" s="321"/>
      <c r="K14" s="319"/>
      <c r="L14" s="319"/>
    </row>
    <row r="15" spans="1:12" ht="19.5" customHeight="1">
      <c r="A15" s="354" t="s">
        <v>184</v>
      </c>
      <c r="B15" s="353" t="s">
        <v>185</v>
      </c>
      <c r="C15" s="353"/>
      <c r="D15" s="400" t="s">
        <v>296</v>
      </c>
      <c r="E15" s="401" t="s">
        <v>181</v>
      </c>
      <c r="F15" s="405" t="s">
        <v>296</v>
      </c>
      <c r="G15" s="343" t="e">
        <f>ROUND(F15/D15,2)</f>
        <v>#VALUE!</v>
      </c>
      <c r="I15" s="320"/>
      <c r="J15" s="321"/>
      <c r="K15" s="319"/>
      <c r="L15" s="319"/>
    </row>
    <row r="16" spans="1:12" ht="19.5" customHeight="1">
      <c r="A16" s="354" t="s">
        <v>186</v>
      </c>
      <c r="B16" s="353" t="s">
        <v>187</v>
      </c>
      <c r="C16" s="353"/>
      <c r="D16" s="400" t="s">
        <v>296</v>
      </c>
      <c r="E16" s="401" t="s">
        <v>181</v>
      </c>
      <c r="F16" s="405" t="s">
        <v>296</v>
      </c>
      <c r="G16" s="343" t="e">
        <f>ROUND(F16/D16,2)</f>
        <v>#VALUE!</v>
      </c>
      <c r="I16" s="320"/>
      <c r="J16" s="321"/>
      <c r="K16" s="319"/>
      <c r="L16" s="319"/>
    </row>
    <row r="17" spans="1:12" ht="19.5" customHeight="1">
      <c r="A17" s="354" t="s">
        <v>188</v>
      </c>
      <c r="B17" s="353" t="s">
        <v>189</v>
      </c>
      <c r="C17" s="353"/>
      <c r="D17" s="400" t="s">
        <v>296</v>
      </c>
      <c r="E17" s="401" t="s">
        <v>181</v>
      </c>
      <c r="F17" s="405" t="s">
        <v>296</v>
      </c>
      <c r="G17" s="343" t="e">
        <f>ROUND(F17/D17,2)</f>
        <v>#VALUE!</v>
      </c>
      <c r="I17" s="320"/>
      <c r="J17" s="321"/>
      <c r="K17" s="319"/>
      <c r="L17" s="319"/>
    </row>
    <row r="18" spans="1:12" ht="5.45" customHeight="1">
      <c r="A18" s="384"/>
      <c r="B18" s="384"/>
      <c r="C18" s="373"/>
      <c r="D18" s="378"/>
      <c r="E18" s="335"/>
      <c r="F18" s="335"/>
      <c r="G18" s="346"/>
      <c r="I18" s="320"/>
      <c r="J18" s="321"/>
      <c r="K18" s="319"/>
      <c r="L18" s="319"/>
    </row>
    <row r="19" spans="1:12" ht="20.45" customHeight="1">
      <c r="A19" s="366">
        <v>2</v>
      </c>
      <c r="B19" s="377" t="s">
        <v>190</v>
      </c>
      <c r="C19" s="377"/>
      <c r="D19" s="344"/>
      <c r="E19" s="344"/>
      <c r="F19" s="344"/>
      <c r="G19" s="344"/>
      <c r="I19" s="320"/>
      <c r="J19" s="321"/>
      <c r="K19" s="319"/>
      <c r="L19" s="319"/>
    </row>
    <row r="20" spans="1:12" ht="6.6" customHeight="1">
      <c r="A20" s="384"/>
      <c r="B20" s="384"/>
      <c r="C20" s="373"/>
      <c r="D20" s="337"/>
      <c r="E20" s="335"/>
      <c r="F20" s="335"/>
      <c r="G20" s="337"/>
      <c r="I20" s="320"/>
      <c r="J20" s="321"/>
      <c r="K20" s="319"/>
      <c r="L20" s="319"/>
    </row>
    <row r="21" spans="1:12" ht="19.149999999999999" customHeight="1">
      <c r="A21" s="386" t="s">
        <v>46</v>
      </c>
      <c r="B21" s="381" t="s">
        <v>191</v>
      </c>
      <c r="C21" s="381"/>
      <c r="D21" s="357"/>
      <c r="E21" s="381"/>
      <c r="F21" s="357"/>
      <c r="G21" s="371"/>
      <c r="H21" s="229"/>
      <c r="I21" s="320"/>
      <c r="J21" s="321"/>
      <c r="K21" s="319"/>
      <c r="L21" s="319"/>
    </row>
    <row r="22" spans="1:12" ht="19.149999999999999" customHeight="1">
      <c r="A22" s="354" t="s">
        <v>179</v>
      </c>
      <c r="B22" s="345" t="s">
        <v>192</v>
      </c>
      <c r="C22" s="336"/>
      <c r="D22" s="398" t="s">
        <v>296</v>
      </c>
      <c r="E22" s="401" t="s">
        <v>181</v>
      </c>
      <c r="F22" s="405" t="s">
        <v>296</v>
      </c>
      <c r="G22" s="343" t="e">
        <f t="shared" ref="G22:G27" si="0">ROUND(F22/D22,2)</f>
        <v>#VALUE!</v>
      </c>
      <c r="I22" s="320"/>
      <c r="J22" s="321"/>
      <c r="K22" s="319"/>
      <c r="L22" s="319"/>
    </row>
    <row r="23" spans="1:12" ht="19.149999999999999" customHeight="1">
      <c r="A23" s="354" t="s">
        <v>182</v>
      </c>
      <c r="B23" s="345" t="s">
        <v>193</v>
      </c>
      <c r="C23" s="336"/>
      <c r="D23" s="400" t="s">
        <v>296</v>
      </c>
      <c r="E23" s="401" t="s">
        <v>181</v>
      </c>
      <c r="F23" s="405" t="s">
        <v>296</v>
      </c>
      <c r="G23" s="343" t="e">
        <f t="shared" si="0"/>
        <v>#VALUE!</v>
      </c>
      <c r="I23" s="320"/>
      <c r="J23" s="321"/>
      <c r="K23" s="319"/>
      <c r="L23" s="319"/>
    </row>
    <row r="24" spans="1:12" ht="19.149999999999999" customHeight="1">
      <c r="A24" s="354" t="s">
        <v>184</v>
      </c>
      <c r="B24" s="345" t="s">
        <v>194</v>
      </c>
      <c r="C24" s="336"/>
      <c r="D24" s="400" t="s">
        <v>296</v>
      </c>
      <c r="E24" s="401" t="s">
        <v>181</v>
      </c>
      <c r="F24" s="405" t="s">
        <v>296</v>
      </c>
      <c r="G24" s="343" t="e">
        <f t="shared" si="0"/>
        <v>#VALUE!</v>
      </c>
      <c r="I24" s="320"/>
      <c r="J24" s="321"/>
      <c r="K24" s="319"/>
      <c r="L24" s="319"/>
    </row>
    <row r="25" spans="1:12" ht="19.149999999999999" customHeight="1">
      <c r="A25" s="354" t="s">
        <v>186</v>
      </c>
      <c r="B25" s="345" t="s">
        <v>195</v>
      </c>
      <c r="C25" s="336"/>
      <c r="D25" s="400" t="s">
        <v>296</v>
      </c>
      <c r="E25" s="401" t="s">
        <v>181</v>
      </c>
      <c r="F25" s="405" t="s">
        <v>296</v>
      </c>
      <c r="G25" s="343" t="e">
        <f t="shared" si="0"/>
        <v>#VALUE!</v>
      </c>
      <c r="I25" s="320"/>
      <c r="J25" s="321"/>
      <c r="K25" s="319"/>
      <c r="L25" s="319"/>
    </row>
    <row r="26" spans="1:12" ht="19.149999999999999" customHeight="1">
      <c r="A26" s="354" t="s">
        <v>188</v>
      </c>
      <c r="B26" s="345" t="s">
        <v>196</v>
      </c>
      <c r="C26" s="336"/>
      <c r="D26" s="400" t="s">
        <v>296</v>
      </c>
      <c r="E26" s="401" t="s">
        <v>181</v>
      </c>
      <c r="F26" s="405" t="s">
        <v>296</v>
      </c>
      <c r="G26" s="343" t="e">
        <f t="shared" si="0"/>
        <v>#VALUE!</v>
      </c>
      <c r="I26" s="320"/>
      <c r="J26" s="321"/>
      <c r="K26" s="319"/>
      <c r="L26" s="319"/>
    </row>
    <row r="27" spans="1:12" ht="19.149999999999999" customHeight="1">
      <c r="A27" s="354" t="s">
        <v>197</v>
      </c>
      <c r="B27" s="345" t="s">
        <v>198</v>
      </c>
      <c r="C27" s="336"/>
      <c r="D27" s="400" t="s">
        <v>296</v>
      </c>
      <c r="E27" s="401" t="s">
        <v>181</v>
      </c>
      <c r="F27" s="405" t="s">
        <v>296</v>
      </c>
      <c r="G27" s="343" t="e">
        <f t="shared" si="0"/>
        <v>#VALUE!</v>
      </c>
      <c r="I27" s="320"/>
      <c r="J27" s="321"/>
      <c r="K27" s="319"/>
      <c r="L27" s="319"/>
    </row>
    <row r="28" spans="1:12" ht="5.45" customHeight="1">
      <c r="A28" s="384"/>
      <c r="B28" s="384"/>
      <c r="C28" s="373"/>
      <c r="D28" s="402"/>
      <c r="E28" s="403"/>
      <c r="F28" s="403"/>
      <c r="G28" s="346"/>
      <c r="I28" s="322"/>
      <c r="J28" s="319"/>
      <c r="K28" s="319"/>
      <c r="L28" s="319"/>
    </row>
    <row r="29" spans="1:12" ht="20.45" customHeight="1">
      <c r="A29" s="366">
        <v>3</v>
      </c>
      <c r="B29" s="377" t="s">
        <v>128</v>
      </c>
      <c r="C29" s="377"/>
      <c r="D29" s="344"/>
      <c r="E29" s="344"/>
      <c r="F29" s="344"/>
      <c r="G29" s="344"/>
      <c r="I29" s="322"/>
      <c r="J29" s="319"/>
      <c r="K29" s="319"/>
      <c r="L29" s="319"/>
    </row>
    <row r="30" spans="1:12" ht="6.6" customHeight="1">
      <c r="A30" s="384"/>
      <c r="B30" s="384"/>
      <c r="C30" s="373"/>
      <c r="D30" s="337"/>
      <c r="E30" s="335"/>
      <c r="F30" s="335"/>
      <c r="G30" s="337"/>
      <c r="I30" s="322"/>
      <c r="J30" s="319"/>
      <c r="K30" s="319"/>
      <c r="L30" s="319"/>
    </row>
    <row r="31" spans="1:12" ht="19.149999999999999" customHeight="1">
      <c r="A31" s="386" t="s">
        <v>58</v>
      </c>
      <c r="B31" s="381" t="s">
        <v>199</v>
      </c>
      <c r="C31" s="381"/>
      <c r="D31" s="357"/>
      <c r="E31" s="381"/>
      <c r="F31" s="357"/>
      <c r="G31" s="371"/>
      <c r="H31" s="229"/>
      <c r="I31" s="322"/>
      <c r="J31" s="319"/>
      <c r="K31" s="319"/>
      <c r="L31" s="319"/>
    </row>
    <row r="32" spans="1:12" ht="21" customHeight="1">
      <c r="A32" s="354" t="s">
        <v>179</v>
      </c>
      <c r="B32" s="449" t="s">
        <v>200</v>
      </c>
      <c r="C32" s="449"/>
      <c r="D32" s="391" t="s">
        <v>202</v>
      </c>
      <c r="E32" s="370" t="s">
        <v>201</v>
      </c>
      <c r="F32" s="367" t="s">
        <v>202</v>
      </c>
      <c r="G32" s="404" t="s">
        <v>296</v>
      </c>
      <c r="I32" s="322"/>
      <c r="J32" s="323"/>
      <c r="K32" s="320"/>
      <c r="L32" s="321"/>
    </row>
    <row r="33" spans="1:12" ht="24" customHeight="1">
      <c r="A33" s="365" t="s">
        <v>182</v>
      </c>
      <c r="B33" s="449" t="s">
        <v>203</v>
      </c>
      <c r="C33" s="449"/>
      <c r="D33" s="391" t="s">
        <v>202</v>
      </c>
      <c r="E33" s="370" t="s">
        <v>166</v>
      </c>
      <c r="F33" s="367" t="s">
        <v>202</v>
      </c>
      <c r="G33" s="404" t="s">
        <v>296</v>
      </c>
      <c r="I33" s="322"/>
      <c r="J33" s="323"/>
      <c r="K33" s="320"/>
      <c r="L33" s="321"/>
    </row>
    <row r="34" spans="1:12" ht="23.25" customHeight="1">
      <c r="A34" s="365" t="s">
        <v>184</v>
      </c>
      <c r="B34" s="449" t="s">
        <v>204</v>
      </c>
      <c r="C34" s="449"/>
      <c r="D34" s="391" t="s">
        <v>202</v>
      </c>
      <c r="E34" s="370" t="s">
        <v>201</v>
      </c>
      <c r="F34" s="367" t="s">
        <v>202</v>
      </c>
      <c r="G34" s="404" t="s">
        <v>296</v>
      </c>
      <c r="I34" s="322"/>
      <c r="J34" s="323"/>
      <c r="K34" s="320"/>
      <c r="L34" s="321"/>
    </row>
    <row r="35" spans="1:12" ht="21" customHeight="1">
      <c r="A35" s="365" t="s">
        <v>186</v>
      </c>
      <c r="B35" s="452" t="s">
        <v>205</v>
      </c>
      <c r="C35" s="452"/>
      <c r="D35" s="383" t="s">
        <v>202</v>
      </c>
      <c r="E35" s="375" t="s">
        <v>206</v>
      </c>
      <c r="F35" s="379" t="s">
        <v>202</v>
      </c>
      <c r="G35" s="404" t="s">
        <v>296</v>
      </c>
      <c r="I35" s="322"/>
      <c r="J35" s="323"/>
      <c r="K35" s="320"/>
      <c r="L35" s="321"/>
    </row>
    <row r="36" spans="1:12" ht="7.15" customHeight="1">
      <c r="A36" s="384"/>
      <c r="B36" s="384"/>
      <c r="C36" s="373"/>
      <c r="D36" s="372"/>
      <c r="E36" s="335"/>
      <c r="F36" s="362"/>
      <c r="G36" s="337"/>
      <c r="I36" s="322"/>
      <c r="J36" s="323"/>
      <c r="K36" s="320"/>
      <c r="L36" s="321"/>
    </row>
    <row r="37" spans="1:12" ht="19.149999999999999" customHeight="1">
      <c r="A37" s="386" t="s">
        <v>59</v>
      </c>
      <c r="B37" s="381" t="s">
        <v>207</v>
      </c>
      <c r="C37" s="381"/>
      <c r="D37" s="357"/>
      <c r="E37" s="381"/>
      <c r="F37" s="357"/>
      <c r="G37" s="371"/>
      <c r="H37" s="229"/>
      <c r="I37" s="322"/>
      <c r="J37" s="323"/>
      <c r="K37" s="320"/>
      <c r="L37" s="321"/>
    </row>
    <row r="38" spans="1:12" ht="20.25" customHeight="1">
      <c r="A38" s="354" t="s">
        <v>179</v>
      </c>
      <c r="B38" s="374" t="s">
        <v>208</v>
      </c>
      <c r="C38" s="374"/>
      <c r="D38" s="339" t="s">
        <v>202</v>
      </c>
      <c r="E38" s="370" t="s">
        <v>166</v>
      </c>
      <c r="F38" s="367" t="s">
        <v>202</v>
      </c>
      <c r="G38" s="404" t="s">
        <v>296</v>
      </c>
      <c r="I38" s="322"/>
      <c r="J38" s="323"/>
      <c r="K38" s="320"/>
      <c r="L38" s="321"/>
    </row>
    <row r="39" spans="1:12" ht="21" customHeight="1">
      <c r="A39" s="365" t="s">
        <v>182</v>
      </c>
      <c r="B39" s="452" t="s">
        <v>209</v>
      </c>
      <c r="C39" s="452"/>
      <c r="D39" s="382" t="s">
        <v>202</v>
      </c>
      <c r="E39" s="368" t="s">
        <v>210</v>
      </c>
      <c r="F39" s="351" t="s">
        <v>202</v>
      </c>
      <c r="G39" s="404" t="s">
        <v>296</v>
      </c>
      <c r="I39" s="322"/>
      <c r="J39" s="323"/>
      <c r="K39" s="320"/>
      <c r="L39" s="321"/>
    </row>
    <row r="40" spans="1:12" ht="20.25" customHeight="1">
      <c r="A40" s="365" t="s">
        <v>184</v>
      </c>
      <c r="B40" s="452" t="s">
        <v>211</v>
      </c>
      <c r="C40" s="452"/>
      <c r="D40" s="382" t="s">
        <v>202</v>
      </c>
      <c r="E40" s="370" t="s">
        <v>210</v>
      </c>
      <c r="F40" s="351" t="s">
        <v>202</v>
      </c>
      <c r="G40" s="404" t="s">
        <v>296</v>
      </c>
      <c r="I40" s="322"/>
      <c r="J40" s="323"/>
      <c r="K40" s="320"/>
      <c r="L40" s="321"/>
    </row>
    <row r="41" spans="1:12" ht="7.9" customHeight="1">
      <c r="A41" s="384"/>
      <c r="B41" s="384"/>
      <c r="C41" s="373"/>
      <c r="D41" s="378"/>
      <c r="E41" s="335"/>
      <c r="F41" s="362"/>
      <c r="G41" s="393"/>
      <c r="I41" s="322"/>
      <c r="J41" s="323"/>
      <c r="K41" s="320"/>
      <c r="L41" s="321"/>
    </row>
    <row r="42" spans="1:12" ht="19.149999999999999" customHeight="1">
      <c r="A42" s="386" t="s">
        <v>60</v>
      </c>
      <c r="B42" s="381" t="s">
        <v>212</v>
      </c>
      <c r="C42" s="381"/>
      <c r="D42" s="357"/>
      <c r="E42" s="381"/>
      <c r="F42" s="357"/>
      <c r="G42" s="371"/>
      <c r="H42" s="229"/>
      <c r="I42" s="322"/>
      <c r="J42" s="323"/>
      <c r="K42" s="320"/>
      <c r="L42" s="321"/>
    </row>
    <row r="43" spans="1:12" ht="18.75" customHeight="1">
      <c r="A43" s="354" t="s">
        <v>179</v>
      </c>
      <c r="B43" s="452" t="s">
        <v>209</v>
      </c>
      <c r="C43" s="452"/>
      <c r="D43" s="382" t="s">
        <v>202</v>
      </c>
      <c r="E43" s="368" t="s">
        <v>210</v>
      </c>
      <c r="F43" s="351" t="s">
        <v>202</v>
      </c>
      <c r="G43" s="404" t="s">
        <v>296</v>
      </c>
      <c r="I43" s="322"/>
      <c r="J43" s="323"/>
      <c r="K43" s="320"/>
      <c r="L43" s="321"/>
    </row>
    <row r="44" spans="1:12" ht="19.5" customHeight="1">
      <c r="A44" s="365" t="s">
        <v>182</v>
      </c>
      <c r="B44" s="452" t="s">
        <v>211</v>
      </c>
      <c r="C44" s="452"/>
      <c r="D44" s="382" t="s">
        <v>202</v>
      </c>
      <c r="E44" s="370" t="s">
        <v>210</v>
      </c>
      <c r="F44" s="351" t="s">
        <v>202</v>
      </c>
      <c r="G44" s="404" t="s">
        <v>296</v>
      </c>
      <c r="I44" s="322"/>
      <c r="J44" s="323"/>
      <c r="K44" s="320"/>
      <c r="L44" s="321"/>
    </row>
    <row r="45" spans="1:12" ht="7.9" customHeight="1">
      <c r="A45" s="384"/>
      <c r="B45" s="384"/>
      <c r="C45" s="373"/>
      <c r="D45" s="378"/>
      <c r="E45" s="335"/>
      <c r="F45" s="362"/>
      <c r="G45" s="393"/>
    </row>
    <row r="46" spans="1:12" ht="20.45" customHeight="1">
      <c r="A46" s="366">
        <v>4</v>
      </c>
      <c r="B46" s="377" t="s">
        <v>128</v>
      </c>
      <c r="C46" s="377"/>
      <c r="D46" s="344"/>
      <c r="E46" s="344"/>
      <c r="F46" s="344"/>
      <c r="G46" s="344"/>
    </row>
    <row r="47" spans="1:12" ht="7.9" customHeight="1">
      <c r="A47" s="384"/>
      <c r="B47" s="384"/>
      <c r="C47" s="373"/>
      <c r="D47" s="378"/>
      <c r="E47" s="335"/>
      <c r="F47" s="362"/>
      <c r="G47" s="393"/>
    </row>
    <row r="48" spans="1:12" ht="19.5" customHeight="1">
      <c r="A48" s="342" t="s">
        <v>71</v>
      </c>
      <c r="B48" s="376" t="s">
        <v>213</v>
      </c>
      <c r="C48" s="376"/>
      <c r="D48" s="376"/>
      <c r="E48" s="376"/>
      <c r="F48" s="385"/>
      <c r="G48" s="376"/>
    </row>
    <row r="49" spans="1:11" ht="19.5" customHeight="1">
      <c r="A49" s="354" t="s">
        <v>179</v>
      </c>
      <c r="B49" s="374" t="s">
        <v>214</v>
      </c>
      <c r="C49" s="374"/>
      <c r="D49" s="355" t="s">
        <v>202</v>
      </c>
      <c r="E49" s="389" t="s">
        <v>210</v>
      </c>
      <c r="F49" s="352" t="s">
        <v>202</v>
      </c>
      <c r="G49" s="404" t="s">
        <v>296</v>
      </c>
      <c r="I49" s="324"/>
      <c r="K49" s="325"/>
    </row>
    <row r="50" spans="1:11" ht="19.5" customHeight="1">
      <c r="A50" s="364" t="s">
        <v>182</v>
      </c>
      <c r="B50" s="353" t="s">
        <v>215</v>
      </c>
      <c r="C50" s="353"/>
      <c r="D50" s="355" t="s">
        <v>202</v>
      </c>
      <c r="E50" s="340" t="s">
        <v>201</v>
      </c>
      <c r="F50" s="363" t="s">
        <v>202</v>
      </c>
      <c r="G50" s="404" t="s">
        <v>296</v>
      </c>
      <c r="I50" s="325"/>
      <c r="K50" s="325"/>
    </row>
    <row r="51" spans="1:11" ht="21" customHeight="1">
      <c r="A51" s="364" t="s">
        <v>184</v>
      </c>
      <c r="B51" s="353" t="s">
        <v>216</v>
      </c>
      <c r="C51" s="353"/>
      <c r="D51" s="355" t="s">
        <v>202</v>
      </c>
      <c r="E51" s="340" t="s">
        <v>201</v>
      </c>
      <c r="F51" s="363" t="s">
        <v>202</v>
      </c>
      <c r="G51" s="404" t="s">
        <v>296</v>
      </c>
      <c r="I51" s="325"/>
      <c r="K51" s="325"/>
    </row>
    <row r="52" spans="1:11" ht="15.6" customHeight="1">
      <c r="A52" s="358"/>
      <c r="B52" s="358"/>
      <c r="E52" s="388"/>
      <c r="F52" s="388"/>
      <c r="G52" s="226"/>
      <c r="I52" s="325"/>
      <c r="K52" s="325"/>
    </row>
    <row r="53" spans="1:11" ht="15.6" customHeight="1">
      <c r="A53" s="228"/>
      <c r="B53" s="448"/>
      <c r="C53" s="448"/>
      <c r="D53" s="448"/>
      <c r="E53" s="448"/>
      <c r="F53" s="448"/>
      <c r="G53" s="448"/>
      <c r="I53" s="325"/>
      <c r="K53" s="325"/>
    </row>
    <row r="54" spans="1:11" hidden="1">
      <c r="B54" s="453"/>
      <c r="C54" s="453"/>
      <c r="D54" s="453"/>
      <c r="E54" s="453"/>
      <c r="F54" s="453"/>
      <c r="G54" s="453"/>
      <c r="I54" s="325"/>
      <c r="K54" s="325"/>
    </row>
    <row r="55" spans="1:11" ht="16.5" customHeight="1">
      <c r="B55" s="448"/>
      <c r="C55" s="448"/>
      <c r="D55" s="448"/>
      <c r="E55" s="448"/>
      <c r="F55" s="448"/>
      <c r="G55" s="448"/>
      <c r="I55" s="325"/>
      <c r="K55" s="325"/>
    </row>
    <row r="56" spans="1:11" ht="14.45" customHeight="1">
      <c r="B56" s="448"/>
      <c r="C56" s="448"/>
      <c r="D56" s="448"/>
      <c r="E56" s="448"/>
      <c r="F56" s="448"/>
      <c r="G56" s="448"/>
      <c r="I56" s="325"/>
      <c r="K56" s="325"/>
    </row>
    <row r="57" spans="1:11" hidden="1">
      <c r="B57" s="451"/>
      <c r="C57" s="451"/>
      <c r="D57" s="451"/>
      <c r="E57" s="451"/>
      <c r="F57" s="451"/>
      <c r="G57" s="451"/>
      <c r="I57" s="325"/>
      <c r="K57" s="325"/>
    </row>
    <row r="58" spans="1:11" ht="30.75" customHeight="1">
      <c r="B58" s="450"/>
      <c r="C58" s="450"/>
      <c r="D58" s="450"/>
      <c r="E58" s="450"/>
      <c r="F58" s="450"/>
      <c r="G58" s="450"/>
      <c r="I58" s="325"/>
      <c r="K58" s="325"/>
    </row>
    <row r="59" spans="1:11" hidden="1">
      <c r="I59" s="325"/>
      <c r="K59" s="325"/>
    </row>
    <row r="60" spans="1:11" hidden="1">
      <c r="I60" s="325"/>
      <c r="K60" s="325"/>
    </row>
    <row r="61" spans="1:11" hidden="1">
      <c r="I61" s="325"/>
      <c r="K61" s="325"/>
    </row>
  </sheetData>
  <sheetProtection algorithmName="SHA-512" hashValue="rBeDSByHj7WKnHImcAOX3HtwXj66++oY7ExD7dYy2t8T4q98PjvNmKd4y7X7KnwuOW7JUFTN48TB7aqJC5d8Fw==" saltValue="lCzifOWwG7m2bUIe8vG6ew==" spinCount="100000" sheet="1" objects="1" scenarios="1"/>
  <mergeCells count="21">
    <mergeCell ref="B55:G55"/>
    <mergeCell ref="B32:C32"/>
    <mergeCell ref="B58:G58"/>
    <mergeCell ref="B57:G57"/>
    <mergeCell ref="B56:G56"/>
    <mergeCell ref="B39:C39"/>
    <mergeCell ref="B54:G54"/>
    <mergeCell ref="B35:C35"/>
    <mergeCell ref="B44:C44"/>
    <mergeCell ref="B53:G53"/>
    <mergeCell ref="B43:C43"/>
    <mergeCell ref="B40:C40"/>
    <mergeCell ref="B33:C33"/>
    <mergeCell ref="B34:C34"/>
    <mergeCell ref="I10:J11"/>
    <mergeCell ref="K10:L11"/>
    <mergeCell ref="A1:G2"/>
    <mergeCell ref="F7:G7"/>
    <mergeCell ref="A7:A8"/>
    <mergeCell ref="E7:E8"/>
    <mergeCell ref="B7:C8"/>
  </mergeCells>
  <phoneticPr fontId="6" type="noConversion"/>
  <conditionalFormatting sqref="A14:A17">
    <cfRule type="duplicateValues" dxfId="13" priority="4"/>
  </conditionalFormatting>
  <conditionalFormatting sqref="A23:A25">
    <cfRule type="duplicateValues" dxfId="12" priority="3"/>
  </conditionalFormatting>
  <conditionalFormatting sqref="D13:D17 F13:F17 D22:D27 F22:F27 G32:G35 G38:G40 G43:G44 G49:G51">
    <cfRule type="containsText" dxfId="11" priority="1" operator="containsText" text="preencher">
      <formula>NOT(ISERROR(SEARCH("preencher",D13)))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7">
    <tabColor theme="8" tint="-0.249977111117893"/>
    <pageSetUpPr fitToPage="1"/>
  </sheetPr>
  <dimension ref="A1:H27"/>
  <sheetViews>
    <sheetView showGridLines="0" view="pageBreakPreview" topLeftCell="A3" zoomScale="115" zoomScaleSheetLayoutView="115" workbookViewId="0">
      <selection activeCell="F12" sqref="F12:F14"/>
    </sheetView>
  </sheetViews>
  <sheetFormatPr defaultColWidth="9.140625" defaultRowHeight="15.75"/>
  <cols>
    <col min="1" max="1" width="13.7109375" style="81" customWidth="1"/>
    <col min="2" max="2" width="58.5703125" style="81" bestFit="1" customWidth="1"/>
    <col min="3" max="3" width="10.42578125" style="82" bestFit="1" customWidth="1"/>
    <col min="4" max="4" width="8.7109375" style="83" bestFit="1" customWidth="1"/>
    <col min="5" max="5" width="12.28515625" style="81" customWidth="1"/>
    <col min="6" max="6" width="9.140625" style="81"/>
    <col min="7" max="7" width="13.5703125" style="81" customWidth="1"/>
    <col min="8" max="16384" width="9.140625" style="81"/>
  </cols>
  <sheetData>
    <row r="1" spans="1:7" ht="20.100000000000001" customHeight="1">
      <c r="A1" s="455" t="s">
        <v>0</v>
      </c>
      <c r="B1" s="455"/>
      <c r="C1" s="455"/>
      <c r="D1" s="455"/>
      <c r="E1" s="455"/>
      <c r="F1" s="455"/>
      <c r="G1" s="455"/>
    </row>
    <row r="2" spans="1:7" ht="20.100000000000001" customHeight="1">
      <c r="A2" s="455"/>
      <c r="B2" s="455"/>
      <c r="C2" s="455"/>
      <c r="D2" s="455"/>
      <c r="E2" s="455"/>
      <c r="F2" s="455"/>
      <c r="G2" s="455"/>
    </row>
    <row r="3" spans="1:7" ht="20.100000000000001" customHeight="1">
      <c r="A3" s="52"/>
      <c r="B3" s="52"/>
      <c r="C3" s="72"/>
      <c r="D3" s="72"/>
      <c r="E3" s="72"/>
    </row>
    <row r="4" spans="1:7" ht="20.100000000000001" customHeight="1">
      <c r="A4" s="77" t="s">
        <v>217</v>
      </c>
      <c r="B4" s="77"/>
      <c r="C4" s="53"/>
      <c r="D4" s="78"/>
      <c r="E4" s="78"/>
      <c r="F4" s="79" t="s">
        <v>133</v>
      </c>
      <c r="G4" s="63" t="str">
        <f>Município!H4</f>
        <v>Inserir data na capa</v>
      </c>
    </row>
    <row r="5" spans="1:7" ht="20.100000000000001" customHeight="1">
      <c r="A5" s="77" t="s">
        <v>134</v>
      </c>
      <c r="B5" s="80" t="str">
        <f>Município!B5</f>
        <v>CBH DOCE</v>
      </c>
      <c r="C5" s="53"/>
      <c r="D5" s="78"/>
      <c r="E5" s="78"/>
    </row>
    <row r="6" spans="1:7" ht="20.100000000000001" customHeight="1">
      <c r="A6" s="77" t="s">
        <v>135</v>
      </c>
      <c r="B6" s="80" t="str">
        <f>Município!B6</f>
        <v>Resplendor/MG</v>
      </c>
      <c r="C6" s="53"/>
      <c r="D6" s="78"/>
    </row>
    <row r="7" spans="1:7" ht="15" customHeight="1">
      <c r="A7" s="77"/>
      <c r="B7" s="77"/>
      <c r="C7" s="53"/>
      <c r="D7" s="78"/>
      <c r="E7" s="78"/>
    </row>
    <row r="8" spans="1:7" ht="15" customHeight="1">
      <c r="A8" s="456"/>
      <c r="B8" s="456"/>
      <c r="C8" s="456"/>
      <c r="D8" s="456"/>
      <c r="E8" s="456"/>
      <c r="F8" s="456"/>
      <c r="G8" s="456"/>
    </row>
    <row r="9" spans="1:7" ht="15" customHeight="1">
      <c r="A9" s="456"/>
      <c r="B9" s="456"/>
      <c r="C9" s="456"/>
      <c r="D9" s="456"/>
      <c r="E9" s="456"/>
      <c r="F9" s="456"/>
      <c r="G9" s="456"/>
    </row>
    <row r="10" spans="1:7" ht="15" customHeight="1">
      <c r="A10" s="77"/>
      <c r="B10" s="77"/>
      <c r="C10" s="53"/>
      <c r="D10" s="78"/>
      <c r="E10" s="78"/>
    </row>
    <row r="11" spans="1:7" ht="20.100000000000001" customHeight="1">
      <c r="A11" s="454" t="s">
        <v>218</v>
      </c>
      <c r="B11" s="454"/>
      <c r="C11" s="454"/>
      <c r="D11" s="101"/>
      <c r="E11" s="102"/>
      <c r="F11" s="102"/>
      <c r="G11" s="102"/>
    </row>
    <row r="12" spans="1:7" ht="20.100000000000001" customHeight="1">
      <c r="A12" s="159" t="s">
        <v>289</v>
      </c>
      <c r="B12" s="159"/>
      <c r="C12" s="159"/>
      <c r="D12" s="160"/>
      <c r="E12" s="161"/>
      <c r="F12" s="397" t="s">
        <v>290</v>
      </c>
      <c r="G12" s="395">
        <v>0.81789999999999996</v>
      </c>
    </row>
    <row r="13" spans="1:7" ht="20.100000000000001" customHeight="1">
      <c r="A13" s="159" t="s">
        <v>291</v>
      </c>
      <c r="B13" s="159"/>
      <c r="C13" s="159"/>
      <c r="D13" s="160"/>
      <c r="E13" s="397"/>
      <c r="F13" s="397" t="s">
        <v>292</v>
      </c>
      <c r="G13" s="395">
        <v>0.2</v>
      </c>
    </row>
    <row r="14" spans="1:7" ht="20.100000000000001" customHeight="1">
      <c r="A14" s="164" t="s">
        <v>293</v>
      </c>
      <c r="B14" s="164"/>
      <c r="C14" s="164"/>
      <c r="D14" s="160"/>
      <c r="E14" s="397"/>
      <c r="F14" s="397" t="s">
        <v>294</v>
      </c>
      <c r="G14" s="395">
        <v>0.1729</v>
      </c>
    </row>
    <row r="15" spans="1:7" ht="20.100000000000001" customHeight="1">
      <c r="A15" s="164" t="s">
        <v>219</v>
      </c>
      <c r="B15" s="164"/>
      <c r="C15" s="164"/>
      <c r="D15" s="160"/>
      <c r="E15" s="164"/>
      <c r="F15" s="162"/>
      <c r="G15" s="395">
        <v>8.7599999999999997E-2</v>
      </c>
    </row>
    <row r="16" spans="1:7" ht="20.100000000000001" customHeight="1">
      <c r="A16" s="164" t="s">
        <v>220</v>
      </c>
      <c r="B16" s="164"/>
      <c r="C16" s="164"/>
      <c r="D16" s="160"/>
      <c r="E16" s="164"/>
      <c r="F16" s="162"/>
      <c r="G16" s="163">
        <f>(1/(1-(E18+E19+E20))-1)</f>
        <v>0.14155251141552516</v>
      </c>
    </row>
    <row r="17" spans="1:8" ht="20.100000000000001" customHeight="1">
      <c r="A17" s="165" t="s">
        <v>221</v>
      </c>
      <c r="B17" s="165"/>
      <c r="C17" s="165"/>
      <c r="D17" s="160"/>
      <c r="E17" s="159"/>
      <c r="F17" s="162"/>
      <c r="G17" s="163"/>
    </row>
    <row r="18" spans="1:8" ht="20.100000000000001" customHeight="1">
      <c r="A18" s="159" t="s">
        <v>222</v>
      </c>
      <c r="B18" s="159"/>
      <c r="C18" s="164"/>
      <c r="D18" s="160"/>
      <c r="E18" s="380">
        <f>1.65%*(1-20%)</f>
        <v>1.3200000000000002E-2</v>
      </c>
      <c r="F18" s="162"/>
      <c r="G18" s="166"/>
    </row>
    <row r="19" spans="1:8" ht="20.100000000000001" customHeight="1">
      <c r="A19" s="159" t="s">
        <v>223</v>
      </c>
      <c r="B19" s="159"/>
      <c r="C19" s="164"/>
      <c r="D19" s="160"/>
      <c r="E19" s="380">
        <f>7.6%*(1-20%)</f>
        <v>6.08E-2</v>
      </c>
      <c r="F19" s="162"/>
      <c r="G19" s="166"/>
    </row>
    <row r="20" spans="1:8" ht="20.100000000000001" customHeight="1">
      <c r="A20" s="159" t="s">
        <v>285</v>
      </c>
      <c r="B20" s="159"/>
      <c r="C20" s="164"/>
      <c r="D20" s="160"/>
      <c r="E20" s="380">
        <v>0.05</v>
      </c>
      <c r="F20" s="162"/>
      <c r="G20" s="166"/>
    </row>
    <row r="21" spans="1:8" ht="3" customHeight="1">
      <c r="A21" s="103"/>
      <c r="B21" s="104"/>
      <c r="C21" s="105"/>
      <c r="D21" s="106"/>
      <c r="E21" s="107"/>
      <c r="F21" s="108"/>
      <c r="G21" s="109"/>
    </row>
    <row r="22" spans="1:8" ht="20.100000000000001" customHeight="1">
      <c r="A22" s="110" t="s">
        <v>224</v>
      </c>
      <c r="B22" s="111" t="s">
        <v>225</v>
      </c>
      <c r="C22" s="112" t="s">
        <v>226</v>
      </c>
      <c r="D22" s="113"/>
      <c r="E22" s="114"/>
      <c r="F22" s="115"/>
      <c r="G22" s="116">
        <f>(1+G12+G14)*(1+G15)*(1+G16)</f>
        <v>2.471682739726027</v>
      </c>
    </row>
    <row r="23" spans="1:8" ht="20.100000000000001" customHeight="1">
      <c r="A23" s="110" t="s">
        <v>227</v>
      </c>
      <c r="B23" s="111" t="s">
        <v>228</v>
      </c>
      <c r="C23" s="112" t="s">
        <v>229</v>
      </c>
      <c r="D23" s="113"/>
      <c r="E23" s="114"/>
      <c r="F23" s="115"/>
      <c r="G23" s="116">
        <f>(1+G13+G14)*(1+G15)*(1+G16)</f>
        <v>1.7045274429223745</v>
      </c>
    </row>
    <row r="24" spans="1:8" ht="20.100000000000001" customHeight="1">
      <c r="A24" s="110" t="s">
        <v>230</v>
      </c>
      <c r="B24" s="111" t="s">
        <v>231</v>
      </c>
      <c r="C24" s="112" t="s">
        <v>232</v>
      </c>
      <c r="D24" s="113"/>
      <c r="E24" s="114"/>
      <c r="F24" s="115"/>
      <c r="G24" s="116">
        <f>(1+G14)*(1+G15)*(1+G16)</f>
        <v>1.4562169406392695</v>
      </c>
    </row>
    <row r="25" spans="1:8" ht="20.100000000000001" customHeight="1">
      <c r="A25" s="110" t="s">
        <v>233</v>
      </c>
      <c r="B25" s="111" t="s">
        <v>234</v>
      </c>
      <c r="C25" s="112" t="s">
        <v>235</v>
      </c>
      <c r="D25" s="113"/>
      <c r="E25" s="114"/>
      <c r="F25" s="115"/>
      <c r="G25" s="116">
        <f>(1+G15)*(1+G16)</f>
        <v>1.241552511415525</v>
      </c>
    </row>
    <row r="26" spans="1:8" ht="51" customHeight="1">
      <c r="A26" s="457"/>
      <c r="B26" s="458"/>
      <c r="C26" s="458"/>
      <c r="D26" s="458"/>
      <c r="E26" s="458"/>
      <c r="F26" s="458"/>
      <c r="G26" s="458"/>
    </row>
    <row r="27" spans="1:8">
      <c r="H27" s="270"/>
    </row>
  </sheetData>
  <sheetProtection algorithmName="SHA-512" hashValue="MVuP71wf4+FgXZaEp4QKr+IfR+mf9VvUCOruvOEHS30c/tvfIss6jd19GoT4JpeZrEG/6/mytPIpLd3NfF+emw==" saltValue="+CzJ45rheQr9I7QzJQsCpQ==" spinCount="100000" sheet="1" objects="1" scenarios="1"/>
  <protectedRanges>
    <protectedRange algorithmName="SHA-512" hashValue="pfASsZDw5bCGt4+56w6I5iqPd0hXqtdXDLbIOzrDU5WwGwCqe/d5wtxlURdpZNllwmV9df+9tGXS5hoAOkUcNA==" saltValue="MFERjjMcMGM+RvTke/drrg==" spinCount="100000" sqref="G16:G25" name="Intervalo1"/>
  </protectedRanges>
  <mergeCells count="4">
    <mergeCell ref="A11:C11"/>
    <mergeCell ref="A1:G2"/>
    <mergeCell ref="A8:G9"/>
    <mergeCell ref="A26:G2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4" orientation="portrait" r:id="rId1"/>
  <ignoredErrors>
    <ignoredError sqref="E18:E19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ilha8">
    <tabColor theme="8" tint="-0.249977111117893"/>
    <pageSetUpPr fitToPage="1"/>
  </sheetPr>
  <dimension ref="A1:J63"/>
  <sheetViews>
    <sheetView showGridLines="0" view="pageBreakPreview" topLeftCell="A5" zoomScale="85" zoomScaleNormal="100" zoomScaleSheetLayoutView="85" workbookViewId="0">
      <selection activeCell="E10" sqref="E10:E48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2" t="s">
        <v>169</v>
      </c>
      <c r="C1" s="462"/>
      <c r="D1" s="462"/>
      <c r="E1" s="462"/>
      <c r="F1" s="462"/>
      <c r="G1" s="462"/>
      <c r="H1" s="462"/>
    </row>
    <row r="2" spans="1:10" s="89" customFormat="1" ht="15" customHeight="1">
      <c r="A2" s="77" t="s">
        <v>247</v>
      </c>
      <c r="C2" s="394" t="s">
        <v>239</v>
      </c>
      <c r="D2" s="145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5"/>
      <c r="H3" s="98"/>
    </row>
    <row r="4" spans="1:10" s="89" customFormat="1" ht="15" customHeight="1">
      <c r="A4" s="77" t="s">
        <v>135</v>
      </c>
      <c r="C4" s="80" t="str">
        <f>Capa!B30</f>
        <v>Resplendor/MG</v>
      </c>
      <c r="D4" s="145"/>
      <c r="G4" s="87"/>
      <c r="H4" s="86"/>
    </row>
    <row r="5" spans="1:10" ht="6" customHeight="1">
      <c r="A5" s="123"/>
      <c r="B5" s="124"/>
      <c r="C5" s="125"/>
      <c r="D5" s="146"/>
      <c r="E5" s="127"/>
      <c r="F5" s="126"/>
      <c r="G5" s="126"/>
      <c r="H5" s="149"/>
    </row>
    <row r="6" spans="1:10" s="100" customFormat="1" ht="47.45" customHeight="1">
      <c r="A6" s="232" t="s">
        <v>248</v>
      </c>
      <c r="B6" s="233" t="s">
        <v>249</v>
      </c>
      <c r="C6" s="463" t="s">
        <v>250</v>
      </c>
      <c r="D6" s="463"/>
      <c r="E6" s="234" t="s">
        <v>251</v>
      </c>
      <c r="F6" s="235" t="s">
        <v>252</v>
      </c>
      <c r="G6" s="235" t="s">
        <v>253</v>
      </c>
      <c r="H6" s="235" t="s">
        <v>254</v>
      </c>
    </row>
    <row r="7" spans="1:10" s="89" customFormat="1" ht="18" customHeight="1">
      <c r="A7" s="236">
        <v>1</v>
      </c>
      <c r="B7" s="237"/>
      <c r="C7" s="238"/>
      <c r="D7" s="236"/>
      <c r="E7" s="237"/>
      <c r="F7" s="237"/>
      <c r="G7" s="239" t="e">
        <f>G9</f>
        <v>#VALUE!</v>
      </c>
      <c r="H7" s="240" t="e">
        <f>G7/$G$50</f>
        <v>#VALUE!</v>
      </c>
    </row>
    <row r="8" spans="1:10" ht="6" customHeight="1">
      <c r="A8" s="123"/>
      <c r="B8" s="124"/>
      <c r="C8" s="125"/>
      <c r="D8" s="146"/>
      <c r="E8" s="127"/>
      <c r="F8" s="126"/>
      <c r="G8" s="126"/>
      <c r="H8" s="149"/>
    </row>
    <row r="9" spans="1:10" s="89" customFormat="1" ht="18" customHeight="1">
      <c r="A9" s="139" t="s">
        <v>28</v>
      </c>
      <c r="B9" s="140"/>
      <c r="C9" s="141"/>
      <c r="D9" s="139"/>
      <c r="E9" s="140"/>
      <c r="F9" s="140"/>
      <c r="G9" s="251" t="e">
        <f>SUM(G10:G14)</f>
        <v>#VALUE!</v>
      </c>
      <c r="H9" s="255" t="e">
        <f>SUM(H10:H14)</f>
        <v>#VALUE!</v>
      </c>
    </row>
    <row r="10" spans="1:10" s="90" customFormat="1" ht="16.149999999999999" customHeight="1">
      <c r="A10" s="172" t="s">
        <v>179</v>
      </c>
      <c r="B10" s="168" t="str">
        <f>Custos!B13</f>
        <v>Engenheiro Coordenador</v>
      </c>
      <c r="C10" s="169" t="e">
        <f>Custos!G13</f>
        <v>#VALUE!</v>
      </c>
      <c r="D10" s="167" t="s">
        <v>181</v>
      </c>
      <c r="E10" s="268">
        <v>3</v>
      </c>
      <c r="F10" s="169" t="e">
        <f>ROUND(C10*E10,2)</f>
        <v>#VALUE!</v>
      </c>
      <c r="G10" s="169" t="e">
        <f>ROUND((F10*K!$G$22),2)</f>
        <v>#VALUE!</v>
      </c>
      <c r="H10" s="176" t="e">
        <f>G10/$G$50</f>
        <v>#VALUE!</v>
      </c>
      <c r="J10" s="91"/>
    </row>
    <row r="11" spans="1:10" s="90" customFormat="1" ht="16.149999999999999" customHeight="1">
      <c r="A11" s="172" t="s">
        <v>182</v>
      </c>
      <c r="B11" s="168" t="str">
        <f>Custos!B14</f>
        <v>Engenheiro de Projetos Pleno</v>
      </c>
      <c r="C11" s="171" t="e">
        <f>Custos!G14</f>
        <v>#VALUE!</v>
      </c>
      <c r="D11" s="170" t="s">
        <v>181</v>
      </c>
      <c r="E11" s="268">
        <v>3</v>
      </c>
      <c r="F11" s="169" t="e">
        <f>ROUND(C11*E11,2)</f>
        <v>#VALUE!</v>
      </c>
      <c r="G11" s="169" t="e">
        <f>ROUND((F11*K!$G$22),2)</f>
        <v>#VALUE!</v>
      </c>
      <c r="H11" s="176" t="e">
        <f>G11/$G$50</f>
        <v>#VALUE!</v>
      </c>
      <c r="J11" s="91"/>
    </row>
    <row r="12" spans="1:10" s="90" customFormat="1" ht="16.149999999999999" customHeight="1">
      <c r="A12" s="172" t="s">
        <v>184</v>
      </c>
      <c r="B12" s="168" t="str">
        <f>Custos!B15</f>
        <v>Engenheiro de Projetos Júnior</v>
      </c>
      <c r="C12" s="171" t="e">
        <f>Custos!G15</f>
        <v>#VALUE!</v>
      </c>
      <c r="D12" s="170" t="s">
        <v>181</v>
      </c>
      <c r="E12" s="268">
        <v>5</v>
      </c>
      <c r="F12" s="169" t="e">
        <f>ROUND(C12*E12,2)</f>
        <v>#VALUE!</v>
      </c>
      <c r="G12" s="169" t="e">
        <f>ROUND((F12*K!$G$22),2)</f>
        <v>#VALUE!</v>
      </c>
      <c r="H12" s="176" t="e">
        <f>G12/$G$50</f>
        <v>#VALUE!</v>
      </c>
      <c r="J12" s="91"/>
    </row>
    <row r="13" spans="1:10" s="90" customFormat="1" ht="16.149999999999999" customHeight="1">
      <c r="A13" s="172" t="s">
        <v>186</v>
      </c>
      <c r="B13" s="168" t="str">
        <f>Custos!B16</f>
        <v>Técnico cadista</v>
      </c>
      <c r="C13" s="171" t="e">
        <f>Custos!G16</f>
        <v>#VALUE!</v>
      </c>
      <c r="D13" s="170" t="s">
        <v>181</v>
      </c>
      <c r="E13" s="268">
        <v>10</v>
      </c>
      <c r="F13" s="169" t="e">
        <f>ROUND(C13*E13,2)</f>
        <v>#VALUE!</v>
      </c>
      <c r="G13" s="169" t="e">
        <f>ROUND((F13*K!$G$22),2)</f>
        <v>#VALUE!</v>
      </c>
      <c r="H13" s="176" t="e">
        <f>G13/$G$50</f>
        <v>#VALUE!</v>
      </c>
      <c r="J13" s="91"/>
    </row>
    <row r="14" spans="1:10" s="90" customFormat="1" ht="16.149999999999999" customHeight="1">
      <c r="A14" s="172" t="s">
        <v>188</v>
      </c>
      <c r="B14" s="168" t="str">
        <f>Custos!B17</f>
        <v>Auxiliar Administrativo</v>
      </c>
      <c r="C14" s="171" t="e">
        <f>Custos!G17</f>
        <v>#VALUE!</v>
      </c>
      <c r="D14" s="170" t="s">
        <v>181</v>
      </c>
      <c r="E14" s="268">
        <v>10</v>
      </c>
      <c r="F14" s="169" t="e">
        <f>ROUND(C14*E14,2)</f>
        <v>#VALUE!</v>
      </c>
      <c r="G14" s="169" t="e">
        <f>ROUND((F14*K!$G$22),2)</f>
        <v>#VALUE!</v>
      </c>
      <c r="H14" s="176" t="e">
        <f>G14/$G$50</f>
        <v>#VALUE!</v>
      </c>
      <c r="J14" s="91"/>
    </row>
    <row r="15" spans="1:10" ht="6" customHeight="1">
      <c r="A15" s="123"/>
      <c r="B15" s="124"/>
      <c r="C15" s="125"/>
      <c r="D15" s="146"/>
      <c r="E15" s="289"/>
      <c r="F15" s="126"/>
      <c r="G15" s="126"/>
      <c r="H15" s="149"/>
    </row>
    <row r="16" spans="1:10" s="89" customFormat="1" ht="18" customHeight="1">
      <c r="A16" s="236">
        <v>2</v>
      </c>
      <c r="B16" s="237"/>
      <c r="C16" s="238"/>
      <c r="D16" s="236"/>
      <c r="E16" s="291"/>
      <c r="F16" s="237"/>
      <c r="G16" s="239" t="e">
        <f>G18</f>
        <v>#VALUE!</v>
      </c>
      <c r="H16" s="240" t="e">
        <f>G16/$G$50</f>
        <v>#VALUE!</v>
      </c>
    </row>
    <row r="17" spans="1:10" ht="5.0999999999999996" customHeight="1">
      <c r="A17" s="129"/>
      <c r="B17" s="131"/>
      <c r="C17" s="128"/>
      <c r="D17" s="122"/>
      <c r="E17" s="293"/>
      <c r="F17" s="122"/>
      <c r="G17" s="122"/>
      <c r="H17" s="148"/>
    </row>
    <row r="18" spans="1:10" s="89" customFormat="1" ht="18" customHeight="1">
      <c r="A18" s="241" t="s">
        <v>46</v>
      </c>
      <c r="B18" s="242"/>
      <c r="C18" s="243"/>
      <c r="D18" s="241"/>
      <c r="E18" s="294"/>
      <c r="F18" s="243"/>
      <c r="G18" s="244" t="e">
        <f>SUM(G19:G24)</f>
        <v>#VALUE!</v>
      </c>
      <c r="H18" s="256" t="e">
        <f>SUM(H19:H24)</f>
        <v>#VALUE!</v>
      </c>
    </row>
    <row r="19" spans="1:10" s="90" customFormat="1" ht="16.149999999999999" customHeight="1">
      <c r="A19" s="172" t="s">
        <v>179</v>
      </c>
      <c r="B19" s="168" t="str">
        <f>Custos!B22</f>
        <v>Advogado sênior</v>
      </c>
      <c r="C19" s="169" t="e">
        <f>Custos!G22</f>
        <v>#VALUE!</v>
      </c>
      <c r="D19" s="167" t="s">
        <v>181</v>
      </c>
      <c r="E19" s="268">
        <v>0</v>
      </c>
      <c r="F19" s="169" t="e">
        <f t="shared" ref="F19:F24" si="0">ROUND(C19*E19,2)</f>
        <v>#VALUE!</v>
      </c>
      <c r="G19" s="169" t="e">
        <f>ROUND((F19*K!$G$23),2)</f>
        <v>#VALUE!</v>
      </c>
      <c r="H19" s="175" t="e">
        <f t="shared" ref="H19:H24" si="1">G19/$G$50</f>
        <v>#VALUE!</v>
      </c>
    </row>
    <row r="20" spans="1:10" s="90" customFormat="1" ht="16.149999999999999" customHeight="1">
      <c r="A20" s="172" t="s">
        <v>182</v>
      </c>
      <c r="B20" s="168" t="str">
        <f>Custos!B23</f>
        <v>Engenheiro de Projetos (Elétrico)</v>
      </c>
      <c r="C20" s="169" t="e">
        <f>Custos!G23</f>
        <v>#VALUE!</v>
      </c>
      <c r="D20" s="167" t="s">
        <v>181</v>
      </c>
      <c r="E20" s="268">
        <v>0</v>
      </c>
      <c r="F20" s="169" t="e">
        <f t="shared" si="0"/>
        <v>#VALUE!</v>
      </c>
      <c r="G20" s="169" t="e">
        <f>ROUND((F20*K!$G$23),2)</f>
        <v>#VALUE!</v>
      </c>
      <c r="H20" s="175" t="e">
        <f t="shared" si="1"/>
        <v>#VALUE!</v>
      </c>
    </row>
    <row r="21" spans="1:10" s="90" customFormat="1" ht="16.149999999999999" customHeight="1">
      <c r="A21" s="172" t="s">
        <v>184</v>
      </c>
      <c r="B21" s="168" t="str">
        <f>Custos!B24</f>
        <v>Engenheiro de Projeto (Calculista)</v>
      </c>
      <c r="C21" s="169" t="e">
        <f>Custos!G24</f>
        <v>#VALUE!</v>
      </c>
      <c r="D21" s="167" t="s">
        <v>181</v>
      </c>
      <c r="E21" s="268">
        <v>0</v>
      </c>
      <c r="F21" s="169" t="e">
        <f t="shared" si="0"/>
        <v>#VALUE!</v>
      </c>
      <c r="G21" s="169" t="e">
        <f>ROUND((F21*K!$G$23),2)</f>
        <v>#VALUE!</v>
      </c>
      <c r="H21" s="175" t="e">
        <f t="shared" si="1"/>
        <v>#VALUE!</v>
      </c>
    </row>
    <row r="22" spans="1:10" s="90" customFormat="1" ht="16.149999999999999" customHeight="1">
      <c r="A22" s="172" t="s">
        <v>186</v>
      </c>
      <c r="B22" s="168" t="str">
        <f>Custos!B25</f>
        <v>Engenheiro de Projetos (Mecânico)</v>
      </c>
      <c r="C22" s="169" t="e">
        <f>Custos!G25</f>
        <v>#VALUE!</v>
      </c>
      <c r="D22" s="167" t="s">
        <v>181</v>
      </c>
      <c r="E22" s="268">
        <v>0</v>
      </c>
      <c r="F22" s="169" t="e">
        <f t="shared" si="0"/>
        <v>#VALUE!</v>
      </c>
      <c r="G22" s="169" t="e">
        <f>ROUND((F22*K!$G$23),2)</f>
        <v>#VALUE!</v>
      </c>
      <c r="H22" s="175" t="e">
        <f t="shared" si="1"/>
        <v>#VALUE!</v>
      </c>
    </row>
    <row r="23" spans="1:10" s="90" customFormat="1" ht="16.149999999999999" customHeight="1">
      <c r="A23" s="172" t="s">
        <v>188</v>
      </c>
      <c r="B23" s="168" t="str">
        <f>Custos!B26</f>
        <v>Engenheiro ambiental</v>
      </c>
      <c r="C23" s="169" t="e">
        <f>Custos!G26</f>
        <v>#VALUE!</v>
      </c>
      <c r="D23" s="167" t="s">
        <v>181</v>
      </c>
      <c r="E23" s="268">
        <v>0</v>
      </c>
      <c r="F23" s="169" t="e">
        <f t="shared" si="0"/>
        <v>#VALUE!</v>
      </c>
      <c r="G23" s="169" t="e">
        <f>ROUND((F23*K!$G$23),2)</f>
        <v>#VALUE!</v>
      </c>
      <c r="H23" s="175" t="e">
        <f t="shared" si="1"/>
        <v>#VALUE!</v>
      </c>
    </row>
    <row r="24" spans="1:10" s="90" customFormat="1" ht="16.149999999999999" customHeight="1">
      <c r="A24" s="172" t="s">
        <v>197</v>
      </c>
      <c r="B24" s="168" t="str">
        <f>Custos!B27</f>
        <v>Técnico em geoprocessamento</v>
      </c>
      <c r="C24" s="169" t="e">
        <f>Custos!G27</f>
        <v>#VALUE!</v>
      </c>
      <c r="D24" s="167" t="s">
        <v>181</v>
      </c>
      <c r="E24" s="268">
        <v>0</v>
      </c>
      <c r="F24" s="169" t="e">
        <f t="shared" si="0"/>
        <v>#VALUE!</v>
      </c>
      <c r="G24" s="169" t="e">
        <f>ROUND((F24*K!$G$23),2)</f>
        <v>#VALUE!</v>
      </c>
      <c r="H24" s="175" t="e">
        <f t="shared" si="1"/>
        <v>#VALUE!</v>
      </c>
      <c r="J24" s="91"/>
    </row>
    <row r="25" spans="1:10" ht="6" customHeight="1">
      <c r="A25" s="123"/>
      <c r="B25" s="124"/>
      <c r="C25" s="125"/>
      <c r="D25" s="146"/>
      <c r="E25" s="289"/>
      <c r="F25" s="126"/>
      <c r="G25" s="126"/>
      <c r="H25" s="149"/>
    </row>
    <row r="26" spans="1:10" s="89" customFormat="1" ht="18" customHeight="1">
      <c r="A26" s="245">
        <v>3</v>
      </c>
      <c r="B26" s="143"/>
      <c r="C26" s="144"/>
      <c r="D26" s="142"/>
      <c r="E26" s="295"/>
      <c r="F26" s="143"/>
      <c r="G26" s="250" t="e">
        <f>G28+G33+G39</f>
        <v>#VALUE!</v>
      </c>
      <c r="H26" s="240" t="e">
        <f>G26/$G$50</f>
        <v>#VALUE!</v>
      </c>
    </row>
    <row r="27" spans="1:10" ht="5.0999999999999996" customHeight="1">
      <c r="A27" s="129"/>
      <c r="B27" s="131"/>
      <c r="C27" s="128"/>
      <c r="D27" s="122"/>
      <c r="E27" s="293"/>
      <c r="F27" s="122"/>
      <c r="G27" s="122"/>
      <c r="H27" s="148"/>
    </row>
    <row r="28" spans="1:10" s="89" customFormat="1" ht="18" customHeight="1">
      <c r="A28" s="139" t="s">
        <v>58</v>
      </c>
      <c r="B28" s="140"/>
      <c r="C28" s="141"/>
      <c r="D28" s="139"/>
      <c r="E28" s="292"/>
      <c r="F28" s="140"/>
      <c r="G28" s="251" t="e">
        <f>SUM(G29:G31)</f>
        <v>#VALUE!</v>
      </c>
      <c r="H28" s="255" t="e">
        <f>SUM(H29:H31)</f>
        <v>#VALUE!</v>
      </c>
    </row>
    <row r="29" spans="1:10" s="90" customFormat="1">
      <c r="A29" s="172" t="s">
        <v>179</v>
      </c>
      <c r="B29" s="264" t="str">
        <f>Custos!B38</f>
        <v>Mobilização e desmobilização de equipe de topografia</v>
      </c>
      <c r="C29" s="174" t="str">
        <f>Custos!G38</f>
        <v>preencher</v>
      </c>
      <c r="D29" s="212" t="str">
        <f>Custos!E38</f>
        <v>km</v>
      </c>
      <c r="E29" s="407">
        <v>0</v>
      </c>
      <c r="F29" s="169" t="e">
        <f>ROUND(C29*E29,2)</f>
        <v>#VALUE!</v>
      </c>
      <c r="G29" s="169" t="e">
        <f>ROUND((F29*K!$G$24),2)</f>
        <v>#VALUE!</v>
      </c>
      <c r="H29" s="176" t="e">
        <f>G29/$G$50</f>
        <v>#VALUE!</v>
      </c>
    </row>
    <row r="30" spans="1:10" s="90" customFormat="1">
      <c r="A30" s="172" t="s">
        <v>182</v>
      </c>
      <c r="B30" s="264" t="str">
        <f>Custos!B39</f>
        <v>Equipe de topografia de campo</v>
      </c>
      <c r="C30" s="174" t="str">
        <f>Custos!G39</f>
        <v>preencher</v>
      </c>
      <c r="D30" s="212" t="str">
        <f>Custos!E39</f>
        <v>mês</v>
      </c>
      <c r="E30" s="407">
        <v>0</v>
      </c>
      <c r="F30" s="169" t="e">
        <f>ROUND(C30*E30,2)</f>
        <v>#VALUE!</v>
      </c>
      <c r="G30" s="169" t="e">
        <f>ROUND((F30*K!$G$24),2)</f>
        <v>#VALUE!</v>
      </c>
      <c r="H30" s="176" t="e">
        <f>G30/$G$50</f>
        <v>#VALUE!</v>
      </c>
    </row>
    <row r="31" spans="1:10" s="90" customFormat="1">
      <c r="A31" s="172" t="s">
        <v>184</v>
      </c>
      <c r="B31" s="264" t="str">
        <f>Custos!B40</f>
        <v>Equipe de topografia de escritório</v>
      </c>
      <c r="C31" s="174" t="str">
        <f>Custos!G40</f>
        <v>preencher</v>
      </c>
      <c r="D31" s="212" t="str">
        <f>Custos!E40</f>
        <v>mês</v>
      </c>
      <c r="E31" s="407">
        <v>0</v>
      </c>
      <c r="F31" s="169" t="e">
        <f>ROUND(C31*E31,2)</f>
        <v>#VALUE!</v>
      </c>
      <c r="G31" s="169" t="e">
        <f>ROUND((F31*K!$G$24),2)</f>
        <v>#VALUE!</v>
      </c>
      <c r="H31" s="176" t="e">
        <f>G31/$G$50</f>
        <v>#VALUE!</v>
      </c>
    </row>
    <row r="32" spans="1:10" ht="10.5" customHeight="1">
      <c r="A32" s="129"/>
      <c r="B32" s="131"/>
      <c r="C32" s="128"/>
      <c r="D32" s="212"/>
      <c r="E32" s="293"/>
      <c r="F32" s="122"/>
      <c r="G32" s="122"/>
      <c r="H32" s="148"/>
    </row>
    <row r="33" spans="1:8" s="89" customFormat="1" ht="18" customHeight="1">
      <c r="A33" s="119" t="s">
        <v>59</v>
      </c>
      <c r="B33" s="132"/>
      <c r="C33" s="121"/>
      <c r="D33" s="119"/>
      <c r="E33" s="296"/>
      <c r="F33" s="120"/>
      <c r="G33" s="133" t="e">
        <f>SUM(G35:G36)</f>
        <v>#VALUE!</v>
      </c>
      <c r="H33" s="254" t="e">
        <f>SUM(H35:H36)</f>
        <v>#VALUE!</v>
      </c>
    </row>
    <row r="34" spans="1:8" s="90" customFormat="1">
      <c r="A34" s="172" t="s">
        <v>179</v>
      </c>
      <c r="B34" s="264" t="str">
        <f>Custos!B32</f>
        <v>Sondagem a percussao - mobilizacao e desmobilizacao</v>
      </c>
      <c r="C34" s="174" t="str">
        <f>Custos!G32</f>
        <v>preencher</v>
      </c>
      <c r="D34" s="212" t="str">
        <f>Custos!E32</f>
        <v>unidade</v>
      </c>
      <c r="E34" s="407">
        <v>0</v>
      </c>
      <c r="F34" s="169" t="e">
        <f>ROUND(C34*E34,2)</f>
        <v>#VALUE!</v>
      </c>
      <c r="G34" s="169" t="e">
        <f>ROUND((F34*K!$G$24),2)</f>
        <v>#VALUE!</v>
      </c>
      <c r="H34" s="176" t="e">
        <f>G34/$G$50</f>
        <v>#VALUE!</v>
      </c>
    </row>
    <row r="35" spans="1:8" s="90" customFormat="1" ht="26.45" customHeight="1">
      <c r="A35" s="172" t="s">
        <v>182</v>
      </c>
      <c r="B35" s="277" t="str">
        <f>Custos!B33</f>
        <v>Sondagem a percussao - adicional de mobilizacao e desmobilizacao</v>
      </c>
      <c r="C35" s="174" t="str">
        <f>Custos!G33</f>
        <v>preencher</v>
      </c>
      <c r="D35" s="265" t="str">
        <f>Custos!E33</f>
        <v>km</v>
      </c>
      <c r="E35" s="407">
        <v>0</v>
      </c>
      <c r="F35" s="169" t="e">
        <f>ROUND(C35*E35,2)</f>
        <v>#VALUE!</v>
      </c>
      <c r="G35" s="169" t="e">
        <f>ROUND((F35*K!$G$24),2)</f>
        <v>#VALUE!</v>
      </c>
      <c r="H35" s="175" t="e">
        <f>G35/$G$50</f>
        <v>#VALUE!</v>
      </c>
    </row>
    <row r="36" spans="1:8" s="90" customFormat="1">
      <c r="A36" s="172" t="s">
        <v>184</v>
      </c>
      <c r="B36" s="264" t="str">
        <f>Custos!B34</f>
        <v>Sondagem a percussao - instalacao por furo</v>
      </c>
      <c r="C36" s="174" t="str">
        <f>Custos!G34</f>
        <v>preencher</v>
      </c>
      <c r="D36" s="212" t="str">
        <f>Custos!E34</f>
        <v>unidade</v>
      </c>
      <c r="E36" s="407">
        <v>0</v>
      </c>
      <c r="F36" s="169" t="e">
        <f>ROUND(C36*E36,2)</f>
        <v>#VALUE!</v>
      </c>
      <c r="G36" s="169" t="e">
        <f>ROUND((F36*K!$G$24),2)</f>
        <v>#VALUE!</v>
      </c>
      <c r="H36" s="176" t="e">
        <f>G36/$G$50</f>
        <v>#VALUE!</v>
      </c>
    </row>
    <row r="37" spans="1:8" s="90" customFormat="1" ht="26.45" customHeight="1">
      <c r="A37" s="172" t="s">
        <v>186</v>
      </c>
      <c r="B37" s="277" t="str">
        <f>Custos!B35</f>
        <v>Sondagem a percussao ø2.1/2" - perfuracao e retirada de amostras</v>
      </c>
      <c r="C37" s="174" t="str">
        <f>Custos!G35</f>
        <v>preencher</v>
      </c>
      <c r="D37" s="265" t="str">
        <f>Custos!E35</f>
        <v>m</v>
      </c>
      <c r="E37" s="410">
        <v>0</v>
      </c>
      <c r="F37" s="169" t="e">
        <f>ROUND(C37*E37,2)</f>
        <v>#VALUE!</v>
      </c>
      <c r="G37" s="169" t="e">
        <f>F37*K!$G$24</f>
        <v>#VALUE!</v>
      </c>
      <c r="H37" s="176" t="e">
        <f>G37/$G$50</f>
        <v>#VALUE!</v>
      </c>
    </row>
    <row r="38" spans="1:8" ht="6" customHeight="1">
      <c r="A38" s="123"/>
      <c r="B38" s="124"/>
      <c r="C38" s="125"/>
      <c r="D38" s="146"/>
      <c r="E38" s="289"/>
      <c r="F38" s="126"/>
      <c r="G38" s="126"/>
      <c r="H38" s="149"/>
    </row>
    <row r="39" spans="1:8" s="89" customFormat="1" ht="18" customHeight="1">
      <c r="A39" s="119" t="s">
        <v>60</v>
      </c>
      <c r="B39" s="132"/>
      <c r="C39" s="121"/>
      <c r="D39" s="119"/>
      <c r="E39" s="296"/>
      <c r="F39" s="120"/>
      <c r="G39" s="133" t="e">
        <f>SUM(G40:G41)</f>
        <v>#VALUE!</v>
      </c>
      <c r="H39" s="254" t="e">
        <f>SUM(H40:H41)</f>
        <v>#VALUE!</v>
      </c>
    </row>
    <row r="40" spans="1:8" s="90" customFormat="1">
      <c r="A40" s="172" t="s">
        <v>179</v>
      </c>
      <c r="B40" s="264" t="str">
        <f>Custos!B43</f>
        <v>Equipe de topografia de campo</v>
      </c>
      <c r="C40" s="174" t="str">
        <f>Custos!G43</f>
        <v>preencher</v>
      </c>
      <c r="D40" s="212" t="str">
        <f>Custos!E43</f>
        <v>mês</v>
      </c>
      <c r="E40" s="407">
        <v>0</v>
      </c>
      <c r="F40" s="169" t="e">
        <f>ROUND(C40*E40,2)</f>
        <v>#VALUE!</v>
      </c>
      <c r="G40" s="169" t="e">
        <f>ROUND((F40*K!$G$24),2)</f>
        <v>#VALUE!</v>
      </c>
      <c r="H40" s="176" t="e">
        <f>G40/$G$50</f>
        <v>#VALUE!</v>
      </c>
    </row>
    <row r="41" spans="1:8" s="90" customFormat="1">
      <c r="A41" s="172" t="s">
        <v>182</v>
      </c>
      <c r="B41" s="264" t="str">
        <f>Custos!B44</f>
        <v>Equipe de topografia de escritório</v>
      </c>
      <c r="C41" s="174" t="str">
        <f>Custos!G44</f>
        <v>preencher</v>
      </c>
      <c r="D41" s="212" t="str">
        <f>Custos!E44</f>
        <v>mês</v>
      </c>
      <c r="E41" s="407">
        <v>0</v>
      </c>
      <c r="F41" s="169" t="e">
        <f>ROUND(C41*E41,2)</f>
        <v>#VALUE!</v>
      </c>
      <c r="G41" s="169" t="e">
        <f>ROUND((F41*K!$G$24),2)</f>
        <v>#VALUE!</v>
      </c>
      <c r="H41" s="176" t="e">
        <f>G41/$G$50</f>
        <v>#VALUE!</v>
      </c>
    </row>
    <row r="42" spans="1:8" ht="5.0999999999999996" customHeight="1">
      <c r="A42" s="172"/>
      <c r="B42" s="134"/>
      <c r="C42" s="128"/>
      <c r="D42" s="167"/>
      <c r="E42" s="293"/>
      <c r="F42" s="122"/>
      <c r="G42" s="122"/>
      <c r="H42" s="148"/>
    </row>
    <row r="43" spans="1:8" s="89" customFormat="1" ht="18" customHeight="1">
      <c r="A43" s="245" t="s">
        <v>255</v>
      </c>
      <c r="B43" s="143"/>
      <c r="C43" s="144"/>
      <c r="D43" s="142"/>
      <c r="E43" s="295"/>
      <c r="F43" s="143"/>
      <c r="G43" s="250" t="e">
        <f>G45</f>
        <v>#VALUE!</v>
      </c>
      <c r="H43" s="240" t="e">
        <f>G43/$G$50</f>
        <v>#VALUE!</v>
      </c>
    </row>
    <row r="44" spans="1:8" ht="5.0999999999999996" customHeight="1">
      <c r="A44" s="246"/>
      <c r="B44" s="134"/>
      <c r="C44" s="128"/>
      <c r="D44" s="122"/>
      <c r="E44" s="293"/>
      <c r="F44" s="122"/>
      <c r="G44" s="122"/>
      <c r="H44" s="148"/>
    </row>
    <row r="45" spans="1:8" s="89" customFormat="1" ht="18" customHeight="1">
      <c r="A45" s="119" t="s">
        <v>71</v>
      </c>
      <c r="B45" s="120"/>
      <c r="C45" s="121"/>
      <c r="D45" s="119"/>
      <c r="E45" s="296"/>
      <c r="F45" s="120"/>
      <c r="G45" s="138" t="e">
        <f>SUM(G46:G48)</f>
        <v>#VALUE!</v>
      </c>
      <c r="H45" s="253" t="e">
        <f>SUM(H46:H48)</f>
        <v>#VALUE!</v>
      </c>
    </row>
    <row r="46" spans="1:8" s="90" customFormat="1">
      <c r="A46" s="172" t="s">
        <v>179</v>
      </c>
      <c r="B46" s="173" t="str">
        <f>Custos!B49</f>
        <v>Veículo tipo pick-up 4X4</v>
      </c>
      <c r="C46" s="174" t="e">
        <f>'Produto Consolidado'!C46</f>
        <v>#VALUE!</v>
      </c>
      <c r="D46" s="212" t="s">
        <v>236</v>
      </c>
      <c r="E46" s="407">
        <v>0</v>
      </c>
      <c r="F46" s="169" t="e">
        <f>ROUND(C46*E46,2)</f>
        <v>#VALUE!</v>
      </c>
      <c r="G46" s="169" t="e">
        <f>ROUND((F46*K!$G$25),2)</f>
        <v>#VALUE!</v>
      </c>
      <c r="H46" s="176" t="e">
        <f>G46/$G$50</f>
        <v>#VALUE!</v>
      </c>
    </row>
    <row r="47" spans="1:8" s="90" customFormat="1" ht="16.149999999999999" customHeight="1">
      <c r="A47" s="172" t="s">
        <v>182</v>
      </c>
      <c r="B47" s="173" t="str">
        <f>Custos!B50</f>
        <v>Refeições</v>
      </c>
      <c r="C47" s="174" t="str">
        <f>Custos!G50</f>
        <v>preencher</v>
      </c>
      <c r="D47" s="212" t="str">
        <f>Custos!E50</f>
        <v>unidade</v>
      </c>
      <c r="E47" s="407">
        <v>0</v>
      </c>
      <c r="F47" s="169" t="e">
        <f>ROUND(C47*E47,2)</f>
        <v>#VALUE!</v>
      </c>
      <c r="G47" s="169" t="e">
        <f>ROUND((F47*K!$G$25),2)</f>
        <v>#VALUE!</v>
      </c>
      <c r="H47" s="176" t="e">
        <f>G47/$G$50</f>
        <v>#VALUE!</v>
      </c>
    </row>
    <row r="48" spans="1:8" s="90" customFormat="1" ht="16.149999999999999" customHeight="1">
      <c r="A48" s="172" t="s">
        <v>184</v>
      </c>
      <c r="B48" s="173" t="str">
        <f>Custos!B51</f>
        <v>Diárias</v>
      </c>
      <c r="C48" s="174" t="str">
        <f>Custos!G51</f>
        <v>preencher</v>
      </c>
      <c r="D48" s="212" t="str">
        <f>Custos!E51</f>
        <v>unidade</v>
      </c>
      <c r="E48" s="407">
        <v>0</v>
      </c>
      <c r="F48" s="169" t="e">
        <f>ROUND(C48*E48,2)</f>
        <v>#VALUE!</v>
      </c>
      <c r="G48" s="169" t="e">
        <f>ROUND((F48*K!$G$25),2)</f>
        <v>#VALUE!</v>
      </c>
      <c r="H48" s="176" t="e">
        <f>G48/$G$50</f>
        <v>#VALUE!</v>
      </c>
    </row>
    <row r="49" spans="1:9" ht="6" customHeight="1">
      <c r="A49" s="117"/>
      <c r="B49" s="135"/>
      <c r="C49" s="136"/>
      <c r="D49" s="146"/>
      <c r="E49" s="126"/>
      <c r="F49" s="126"/>
      <c r="G49" s="137"/>
      <c r="H49" s="150"/>
    </row>
    <row r="50" spans="1:9" ht="18" customHeight="1">
      <c r="A50" s="464" t="s">
        <v>256</v>
      </c>
      <c r="B50" s="464"/>
      <c r="C50" s="247"/>
      <c r="D50" s="248"/>
      <c r="E50" s="249"/>
      <c r="F50" s="247" t="s">
        <v>237</v>
      </c>
      <c r="G50" s="247" t="e">
        <f>ROUND((G7+G16+G26+G43),2)</f>
        <v>#VALUE!</v>
      </c>
      <c r="H50" s="252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0"/>
    </row>
    <row r="52" spans="1:9" ht="20.100000000000001" customHeight="1">
      <c r="A52" s="465" t="s">
        <v>286</v>
      </c>
      <c r="B52" s="465"/>
      <c r="C52" s="465"/>
      <c r="D52" s="465"/>
      <c r="E52" s="465"/>
      <c r="F52" s="465"/>
      <c r="G52" s="465"/>
      <c r="H52" s="465"/>
    </row>
    <row r="53" spans="1:9" ht="18.75" customHeight="1">
      <c r="A53" s="465" t="s">
        <v>287</v>
      </c>
      <c r="B53" s="465"/>
      <c r="C53" s="465"/>
      <c r="D53" s="465"/>
      <c r="E53" s="465"/>
      <c r="F53" s="465"/>
      <c r="G53" s="465"/>
      <c r="H53" s="465"/>
    </row>
    <row r="54" spans="1:9" ht="18" customHeight="1">
      <c r="A54" s="465" t="s">
        <v>288</v>
      </c>
      <c r="B54" s="465"/>
      <c r="C54" s="465"/>
      <c r="D54" s="465"/>
      <c r="E54" s="465"/>
      <c r="F54" s="465"/>
      <c r="G54" s="465"/>
      <c r="H54" s="465"/>
    </row>
    <row r="55" spans="1:9" ht="13.15" customHeight="1">
      <c r="A55" s="118"/>
      <c r="B55" s="461"/>
      <c r="C55" s="461"/>
      <c r="D55" s="461"/>
      <c r="E55" s="461"/>
      <c r="F55" s="461"/>
      <c r="G55" s="461"/>
      <c r="H55" s="461"/>
    </row>
    <row r="56" spans="1:9" ht="13.15" customHeight="1">
      <c r="A56" s="118"/>
      <c r="B56" s="225"/>
      <c r="C56" s="225"/>
      <c r="D56" s="225"/>
      <c r="E56" s="225"/>
      <c r="F56" s="225"/>
      <c r="G56" s="225"/>
      <c r="H56" s="225"/>
    </row>
    <row r="57" spans="1:9" ht="13.15" customHeight="1">
      <c r="A57" s="459"/>
      <c r="B57" s="459"/>
      <c r="C57" s="459"/>
      <c r="D57" s="459"/>
      <c r="E57" s="459"/>
      <c r="F57" s="459"/>
      <c r="G57" s="225"/>
      <c r="H57" s="225"/>
    </row>
    <row r="58" spans="1:9" ht="13.15" customHeight="1">
      <c r="A58" s="460"/>
      <c r="B58" s="460"/>
      <c r="C58" s="460"/>
      <c r="D58" s="460"/>
      <c r="E58" s="460"/>
      <c r="F58" s="460"/>
      <c r="G58" s="225"/>
      <c r="H58" s="225"/>
    </row>
    <row r="59" spans="1:9" ht="13.15" customHeight="1">
      <c r="A59" s="460"/>
      <c r="B59" s="460"/>
      <c r="C59" s="460"/>
      <c r="D59" s="460"/>
      <c r="E59" s="460"/>
      <c r="F59" s="460"/>
      <c r="G59" s="225"/>
      <c r="H59" s="225"/>
    </row>
    <row r="60" spans="1:9">
      <c r="A60" s="331"/>
      <c r="B60" s="97"/>
      <c r="D60" s="97"/>
      <c r="E60" s="97"/>
      <c r="I60"/>
    </row>
    <row r="61" spans="1:9" ht="15" customHeight="1">
      <c r="A61" s="459"/>
      <c r="B61" s="459"/>
      <c r="C61" s="459"/>
      <c r="D61" s="459"/>
      <c r="E61" s="459"/>
      <c r="F61" s="459"/>
      <c r="G61" s="271"/>
      <c r="H61" s="258"/>
      <c r="I61"/>
    </row>
    <row r="62" spans="1:9" ht="15" customHeight="1">
      <c r="A62" s="460"/>
      <c r="B62" s="460"/>
      <c r="C62" s="460"/>
      <c r="D62" s="460"/>
      <c r="E62" s="460"/>
      <c r="F62" s="460"/>
      <c r="G62" s="257"/>
      <c r="H62" s="258"/>
    </row>
    <row r="63" spans="1:9" ht="15" customHeight="1">
      <c r="A63" s="460"/>
      <c r="B63" s="460"/>
      <c r="C63" s="460"/>
      <c r="D63" s="460"/>
      <c r="E63" s="460"/>
      <c r="F63" s="460"/>
      <c r="G63" s="126"/>
      <c r="H63" s="259"/>
      <c r="I63" s="89"/>
    </row>
  </sheetData>
  <sheetProtection algorithmName="SHA-512" hashValue="rhfwzMw/BxnSstVcdYgWsABtwM7hvSCFMTx9AKF2S0lk2dRaC1gN1Scoe9pa0AsJsOuyJpgBuc7QCfK97uTUuQ==" saltValue="7tJmSVDIeeNfE6/NziCBrQ==" spinCount="100000" sheet="1" objects="1" scenarios="1"/>
  <mergeCells count="19">
    <mergeCell ref="C61:F61"/>
    <mergeCell ref="C62:F62"/>
    <mergeCell ref="C63:F63"/>
    <mergeCell ref="A61:B61"/>
    <mergeCell ref="A62:B62"/>
    <mergeCell ref="A63:B63"/>
    <mergeCell ref="B55:H55"/>
    <mergeCell ref="B1:H1"/>
    <mergeCell ref="C6:D6"/>
    <mergeCell ref="A50:B50"/>
    <mergeCell ref="A52:H52"/>
    <mergeCell ref="A53:H53"/>
    <mergeCell ref="A54:H54"/>
    <mergeCell ref="C57:F57"/>
    <mergeCell ref="C58:F58"/>
    <mergeCell ref="C59:F59"/>
    <mergeCell ref="A57:B57"/>
    <mergeCell ref="A58:B58"/>
    <mergeCell ref="A59:B59"/>
  </mergeCells>
  <phoneticPr fontId="68" type="noConversion"/>
  <conditionalFormatting sqref="A52:H54">
    <cfRule type="containsText" dxfId="10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ilha9">
    <tabColor theme="8" tint="-0.249977111117893"/>
    <pageSetUpPr fitToPage="1"/>
  </sheetPr>
  <dimension ref="A1:J63"/>
  <sheetViews>
    <sheetView showGridLines="0" view="pageBreakPreview" zoomScale="60" zoomScaleNormal="100" workbookViewId="0">
      <selection activeCell="E10" sqref="E10:E48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2" t="s">
        <v>169</v>
      </c>
      <c r="C1" s="462"/>
      <c r="D1" s="462"/>
      <c r="E1" s="462"/>
      <c r="F1" s="462"/>
      <c r="G1" s="462"/>
      <c r="H1" s="462"/>
    </row>
    <row r="2" spans="1:10" s="89" customFormat="1" ht="15" customHeight="1">
      <c r="A2" s="77" t="s">
        <v>257</v>
      </c>
      <c r="C2" s="394" t="s">
        <v>240</v>
      </c>
      <c r="D2" s="145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5"/>
      <c r="H3" s="98"/>
    </row>
    <row r="4" spans="1:10" s="89" customFormat="1" ht="15" customHeight="1">
      <c r="A4" s="77" t="s">
        <v>135</v>
      </c>
      <c r="C4" s="80" t="str">
        <f>Capa!B30</f>
        <v>Resplendor/MG</v>
      </c>
      <c r="D4" s="145"/>
      <c r="G4" s="87"/>
      <c r="H4" s="86"/>
    </row>
    <row r="5" spans="1:10" ht="6" customHeight="1">
      <c r="A5" s="123"/>
      <c r="B5" s="124"/>
      <c r="C5" s="125"/>
      <c r="D5" s="146"/>
      <c r="E5" s="127"/>
      <c r="F5" s="126"/>
      <c r="G5" s="126"/>
      <c r="H5" s="149"/>
    </row>
    <row r="6" spans="1:10" s="100" customFormat="1" ht="47.45" customHeight="1">
      <c r="A6" s="232" t="s">
        <v>248</v>
      </c>
      <c r="B6" s="233" t="s">
        <v>249</v>
      </c>
      <c r="C6" s="463" t="s">
        <v>250</v>
      </c>
      <c r="D6" s="463"/>
      <c r="E6" s="234" t="s">
        <v>251</v>
      </c>
      <c r="F6" s="235" t="s">
        <v>252</v>
      </c>
      <c r="G6" s="235" t="s">
        <v>253</v>
      </c>
      <c r="H6" s="235" t="s">
        <v>254</v>
      </c>
    </row>
    <row r="7" spans="1:10" s="89" customFormat="1" ht="18" customHeight="1">
      <c r="A7" s="236">
        <v>1</v>
      </c>
      <c r="B7" s="237"/>
      <c r="C7" s="238"/>
      <c r="D7" s="236"/>
      <c r="E7" s="237"/>
      <c r="F7" s="237"/>
      <c r="G7" s="239" t="e">
        <f>G9</f>
        <v>#VALUE!</v>
      </c>
      <c r="H7" s="240" t="e">
        <f>G7/$G$50</f>
        <v>#VALUE!</v>
      </c>
    </row>
    <row r="8" spans="1:10" ht="6" customHeight="1">
      <c r="A8" s="123"/>
      <c r="B8" s="124"/>
      <c r="C8" s="125"/>
      <c r="D8" s="146"/>
      <c r="E8" s="127"/>
      <c r="F8" s="126"/>
      <c r="G8" s="126"/>
      <c r="H8" s="149"/>
    </row>
    <row r="9" spans="1:10" s="89" customFormat="1" ht="18" customHeight="1">
      <c r="A9" s="139" t="s">
        <v>28</v>
      </c>
      <c r="B9" s="140"/>
      <c r="C9" s="141"/>
      <c r="D9" s="139"/>
      <c r="E9" s="140"/>
      <c r="F9" s="140"/>
      <c r="G9" s="251" t="e">
        <f>SUM(G10:G14)</f>
        <v>#VALUE!</v>
      </c>
      <c r="H9" s="255" t="e">
        <f>SUM(H10:H14)</f>
        <v>#VALUE!</v>
      </c>
    </row>
    <row r="10" spans="1:10" s="90" customFormat="1" ht="16.149999999999999" customHeight="1">
      <c r="A10" s="172" t="s">
        <v>179</v>
      </c>
      <c r="B10" s="168" t="str">
        <f>Custos!B13</f>
        <v>Engenheiro Coordenador</v>
      </c>
      <c r="C10" s="169" t="e">
        <f>Custos!G13</f>
        <v>#VALUE!</v>
      </c>
      <c r="D10" s="167" t="s">
        <v>181</v>
      </c>
      <c r="E10" s="268">
        <v>0</v>
      </c>
      <c r="F10" s="169" t="e">
        <f>ROUND(C10*E10,2)</f>
        <v>#VALUE!</v>
      </c>
      <c r="G10" s="169" t="e">
        <f>ROUND((F10*K!$G$22),2)</f>
        <v>#VALUE!</v>
      </c>
      <c r="H10" s="176" t="e">
        <f>G10/$G$50</f>
        <v>#VALUE!</v>
      </c>
      <c r="J10" s="91"/>
    </row>
    <row r="11" spans="1:10" s="90" customFormat="1" ht="16.149999999999999" customHeight="1">
      <c r="A11" s="172" t="s">
        <v>182</v>
      </c>
      <c r="B11" s="168" t="str">
        <f>Custos!B14</f>
        <v>Engenheiro de Projetos Pleno</v>
      </c>
      <c r="C11" s="171" t="e">
        <f>Custos!G14</f>
        <v>#VALUE!</v>
      </c>
      <c r="D11" s="170" t="s">
        <v>181</v>
      </c>
      <c r="E11" s="268">
        <v>5</v>
      </c>
      <c r="F11" s="169" t="e">
        <f>ROUND(C11*E11,2)</f>
        <v>#VALUE!</v>
      </c>
      <c r="G11" s="169" t="e">
        <f>ROUND((F11*K!$G$22),2)</f>
        <v>#VALUE!</v>
      </c>
      <c r="H11" s="176" t="e">
        <f>G11/$G$50</f>
        <v>#VALUE!</v>
      </c>
      <c r="J11" s="91"/>
    </row>
    <row r="12" spans="1:10" s="90" customFormat="1" ht="16.149999999999999" customHeight="1">
      <c r="A12" s="172" t="s">
        <v>184</v>
      </c>
      <c r="B12" s="168" t="str">
        <f>Custos!B15</f>
        <v>Engenheiro de Projetos Júnior</v>
      </c>
      <c r="C12" s="171" t="e">
        <f>Custos!G15</f>
        <v>#VALUE!</v>
      </c>
      <c r="D12" s="170" t="s">
        <v>181</v>
      </c>
      <c r="E12" s="268">
        <v>10</v>
      </c>
      <c r="F12" s="169" t="e">
        <f>ROUND(C12*E12,2)</f>
        <v>#VALUE!</v>
      </c>
      <c r="G12" s="169" t="e">
        <f>ROUND((F12*K!$G$22),2)</f>
        <v>#VALUE!</v>
      </c>
      <c r="H12" s="176" t="e">
        <f>G12/$G$50</f>
        <v>#VALUE!</v>
      </c>
      <c r="J12" s="91"/>
    </row>
    <row r="13" spans="1:10" s="90" customFormat="1" ht="16.149999999999999" customHeight="1">
      <c r="A13" s="172" t="s">
        <v>186</v>
      </c>
      <c r="B13" s="168" t="str">
        <f>Custos!B16</f>
        <v>Técnico cadista</v>
      </c>
      <c r="C13" s="171" t="e">
        <f>Custos!G16</f>
        <v>#VALUE!</v>
      </c>
      <c r="D13" s="170" t="s">
        <v>181</v>
      </c>
      <c r="E13" s="268">
        <v>20</v>
      </c>
      <c r="F13" s="169" t="e">
        <f>ROUND(C13*E13,2)</f>
        <v>#VALUE!</v>
      </c>
      <c r="G13" s="169" t="e">
        <f>ROUND((F13*K!$G$22),2)</f>
        <v>#VALUE!</v>
      </c>
      <c r="H13" s="176" t="e">
        <f>G13/$G$50</f>
        <v>#VALUE!</v>
      </c>
      <c r="J13" s="91"/>
    </row>
    <row r="14" spans="1:10" s="90" customFormat="1" ht="16.149999999999999" customHeight="1">
      <c r="A14" s="172" t="s">
        <v>188</v>
      </c>
      <c r="B14" s="168" t="str">
        <f>Custos!B17</f>
        <v>Auxiliar Administrativo</v>
      </c>
      <c r="C14" s="171" t="e">
        <f>Custos!G17</f>
        <v>#VALUE!</v>
      </c>
      <c r="D14" s="170" t="s">
        <v>181</v>
      </c>
      <c r="E14" s="268">
        <v>30</v>
      </c>
      <c r="F14" s="169" t="e">
        <f>ROUND(C14*E14,2)</f>
        <v>#VALUE!</v>
      </c>
      <c r="G14" s="169" t="e">
        <f>ROUND((F14*K!$G$22),2)</f>
        <v>#VALUE!</v>
      </c>
      <c r="H14" s="176" t="e">
        <f>G14/$G$50</f>
        <v>#VALUE!</v>
      </c>
      <c r="J14" s="91"/>
    </row>
    <row r="15" spans="1:10" ht="6" customHeight="1">
      <c r="A15" s="123"/>
      <c r="B15" s="124"/>
      <c r="C15" s="125"/>
      <c r="D15" s="146"/>
      <c r="E15" s="289"/>
      <c r="F15" s="126"/>
      <c r="G15" s="126"/>
      <c r="H15" s="149"/>
    </row>
    <row r="16" spans="1:10" s="89" customFormat="1" ht="18" customHeight="1">
      <c r="A16" s="236">
        <v>2</v>
      </c>
      <c r="B16" s="237"/>
      <c r="C16" s="238"/>
      <c r="D16" s="236"/>
      <c r="E16" s="291"/>
      <c r="F16" s="237"/>
      <c r="G16" s="239" t="e">
        <f>G18</f>
        <v>#VALUE!</v>
      </c>
      <c r="H16" s="240" t="e">
        <f>G16/$G$50</f>
        <v>#VALUE!</v>
      </c>
    </row>
    <row r="17" spans="1:10" ht="5.0999999999999996" customHeight="1">
      <c r="A17" s="129"/>
      <c r="B17" s="131"/>
      <c r="C17" s="128"/>
      <c r="D17" s="122"/>
      <c r="E17" s="293"/>
      <c r="F17" s="122"/>
      <c r="G17" s="122"/>
      <c r="H17" s="148"/>
    </row>
    <row r="18" spans="1:10" s="89" customFormat="1" ht="18" customHeight="1">
      <c r="A18" s="241" t="s">
        <v>46</v>
      </c>
      <c r="B18" s="242"/>
      <c r="C18" s="243"/>
      <c r="D18" s="241"/>
      <c r="E18" s="294"/>
      <c r="F18" s="243"/>
      <c r="G18" s="244" t="e">
        <f>SUM(G19:G24)</f>
        <v>#VALUE!</v>
      </c>
      <c r="H18" s="256" t="e">
        <f>SUM(H19:H24)</f>
        <v>#VALUE!</v>
      </c>
    </row>
    <row r="19" spans="1:10" s="90" customFormat="1" ht="16.149999999999999" customHeight="1">
      <c r="A19" s="172" t="s">
        <v>179</v>
      </c>
      <c r="B19" s="168" t="str">
        <f>Custos!B22</f>
        <v>Advogado sênior</v>
      </c>
      <c r="C19" s="169" t="e">
        <f>Custos!G22</f>
        <v>#VALUE!</v>
      </c>
      <c r="D19" s="167" t="s">
        <v>181</v>
      </c>
      <c r="E19" s="268">
        <v>0</v>
      </c>
      <c r="F19" s="169" t="e">
        <f t="shared" ref="F19:F24" si="0">ROUND(C19*E19,2)</f>
        <v>#VALUE!</v>
      </c>
      <c r="G19" s="169" t="e">
        <f>ROUND((F19*K!$G$23),2)</f>
        <v>#VALUE!</v>
      </c>
      <c r="H19" s="175" t="e">
        <f t="shared" ref="H19:H24" si="1">G19/$G$50</f>
        <v>#VALUE!</v>
      </c>
    </row>
    <row r="20" spans="1:10" s="90" customFormat="1" ht="16.149999999999999" customHeight="1">
      <c r="A20" s="172" t="s">
        <v>182</v>
      </c>
      <c r="B20" s="168" t="str">
        <f>Custos!B23</f>
        <v>Engenheiro de Projetos (Elétrico)</v>
      </c>
      <c r="C20" s="169" t="e">
        <f>Custos!G23</f>
        <v>#VALUE!</v>
      </c>
      <c r="D20" s="167" t="s">
        <v>181</v>
      </c>
      <c r="E20" s="268">
        <v>0</v>
      </c>
      <c r="F20" s="169" t="e">
        <f t="shared" si="0"/>
        <v>#VALUE!</v>
      </c>
      <c r="G20" s="169" t="e">
        <f>ROUND((F20*K!$G$23),2)</f>
        <v>#VALUE!</v>
      </c>
      <c r="H20" s="175" t="e">
        <f t="shared" si="1"/>
        <v>#VALUE!</v>
      </c>
    </row>
    <row r="21" spans="1:10" s="90" customFormat="1" ht="16.149999999999999" customHeight="1">
      <c r="A21" s="172" t="s">
        <v>184</v>
      </c>
      <c r="B21" s="168" t="str">
        <f>Custos!B24</f>
        <v>Engenheiro de Projeto (Calculista)</v>
      </c>
      <c r="C21" s="169" t="e">
        <f>Custos!G24</f>
        <v>#VALUE!</v>
      </c>
      <c r="D21" s="167" t="s">
        <v>181</v>
      </c>
      <c r="E21" s="268">
        <v>0</v>
      </c>
      <c r="F21" s="169" t="e">
        <f t="shared" si="0"/>
        <v>#VALUE!</v>
      </c>
      <c r="G21" s="169" t="e">
        <f>ROUND((F21*K!$G$23),2)</f>
        <v>#VALUE!</v>
      </c>
      <c r="H21" s="175" t="e">
        <f t="shared" si="1"/>
        <v>#VALUE!</v>
      </c>
    </row>
    <row r="22" spans="1:10" s="90" customFormat="1" ht="16.149999999999999" customHeight="1">
      <c r="A22" s="172" t="s">
        <v>186</v>
      </c>
      <c r="B22" s="168" t="str">
        <f>Custos!B25</f>
        <v>Engenheiro de Projetos (Mecânico)</v>
      </c>
      <c r="C22" s="169" t="e">
        <f>Custos!G25</f>
        <v>#VALUE!</v>
      </c>
      <c r="D22" s="167" t="s">
        <v>181</v>
      </c>
      <c r="E22" s="268">
        <v>0</v>
      </c>
      <c r="F22" s="169" t="e">
        <f t="shared" si="0"/>
        <v>#VALUE!</v>
      </c>
      <c r="G22" s="169" t="e">
        <f>ROUND((F22*K!$G$23),2)</f>
        <v>#VALUE!</v>
      </c>
      <c r="H22" s="175" t="e">
        <f t="shared" si="1"/>
        <v>#VALUE!</v>
      </c>
    </row>
    <row r="23" spans="1:10" s="90" customFormat="1" ht="16.149999999999999" customHeight="1">
      <c r="A23" s="172" t="s">
        <v>188</v>
      </c>
      <c r="B23" s="168" t="str">
        <f>Custos!B26</f>
        <v>Engenheiro ambiental</v>
      </c>
      <c r="C23" s="169" t="e">
        <f>Custos!G26</f>
        <v>#VALUE!</v>
      </c>
      <c r="D23" s="167" t="s">
        <v>181</v>
      </c>
      <c r="E23" s="268">
        <v>0</v>
      </c>
      <c r="F23" s="169" t="e">
        <f t="shared" si="0"/>
        <v>#VALUE!</v>
      </c>
      <c r="G23" s="169" t="e">
        <f>ROUND((F23*K!$G$23),2)</f>
        <v>#VALUE!</v>
      </c>
      <c r="H23" s="175" t="e">
        <f t="shared" si="1"/>
        <v>#VALUE!</v>
      </c>
    </row>
    <row r="24" spans="1:10" s="90" customFormat="1" ht="16.149999999999999" customHeight="1">
      <c r="A24" s="172" t="s">
        <v>197</v>
      </c>
      <c r="B24" s="168" t="str">
        <f>Custos!B27</f>
        <v>Técnico em geoprocessamento</v>
      </c>
      <c r="C24" s="169" t="e">
        <f>Custos!G27</f>
        <v>#VALUE!</v>
      </c>
      <c r="D24" s="167" t="s">
        <v>181</v>
      </c>
      <c r="E24" s="268">
        <v>0</v>
      </c>
      <c r="F24" s="169" t="e">
        <f t="shared" si="0"/>
        <v>#VALUE!</v>
      </c>
      <c r="G24" s="169" t="e">
        <f>ROUND((F24*K!$G$23),2)</f>
        <v>#VALUE!</v>
      </c>
      <c r="H24" s="175" t="e">
        <f t="shared" si="1"/>
        <v>#VALUE!</v>
      </c>
      <c r="J24" s="91"/>
    </row>
    <row r="25" spans="1:10" ht="6" customHeight="1">
      <c r="A25" s="123"/>
      <c r="B25" s="124"/>
      <c r="C25" s="125"/>
      <c r="D25" s="146"/>
      <c r="E25" s="289"/>
      <c r="F25" s="126"/>
      <c r="G25" s="126"/>
      <c r="H25" s="149"/>
    </row>
    <row r="26" spans="1:10" s="89" customFormat="1" ht="18" customHeight="1">
      <c r="A26" s="245">
        <v>3</v>
      </c>
      <c r="B26" s="143"/>
      <c r="C26" s="144"/>
      <c r="D26" s="142"/>
      <c r="E26" s="295"/>
      <c r="F26" s="143"/>
      <c r="G26" s="250" t="e">
        <f>G28+G33+G39</f>
        <v>#VALUE!</v>
      </c>
      <c r="H26" s="240" t="e">
        <f>G26/$G$50</f>
        <v>#VALUE!</v>
      </c>
    </row>
    <row r="27" spans="1:10" ht="5.0999999999999996" customHeight="1">
      <c r="A27" s="129"/>
      <c r="B27" s="131"/>
      <c r="C27" s="128"/>
      <c r="D27" s="122"/>
      <c r="E27" s="293"/>
      <c r="F27" s="122"/>
      <c r="G27" s="122"/>
      <c r="H27" s="148"/>
    </row>
    <row r="28" spans="1:10" s="89" customFormat="1" ht="18" customHeight="1">
      <c r="A28" s="139" t="s">
        <v>58</v>
      </c>
      <c r="B28" s="140"/>
      <c r="C28" s="141"/>
      <c r="D28" s="139"/>
      <c r="E28" s="292"/>
      <c r="F28" s="140"/>
      <c r="G28" s="251" t="e">
        <f>SUM(G29:G31)</f>
        <v>#VALUE!</v>
      </c>
      <c r="H28" s="255" t="e">
        <f>SUM(H29:H31)</f>
        <v>#VALUE!</v>
      </c>
    </row>
    <row r="29" spans="1:10" s="90" customFormat="1">
      <c r="A29" s="172" t="s">
        <v>179</v>
      </c>
      <c r="B29" s="264" t="str">
        <f>Custos!B38</f>
        <v>Mobilização e desmobilização de equipe de topografia</v>
      </c>
      <c r="C29" s="174" t="str">
        <f>Custos!G38</f>
        <v>preencher</v>
      </c>
      <c r="D29" s="212" t="str">
        <f>Custos!E38</f>
        <v>km</v>
      </c>
      <c r="E29" s="407">
        <v>385</v>
      </c>
      <c r="F29" s="169" t="e">
        <f>ROUND(C29*E29,2)</f>
        <v>#VALUE!</v>
      </c>
      <c r="G29" s="169" t="e">
        <f>ROUND((F29*K!$G$24),2)</f>
        <v>#VALUE!</v>
      </c>
      <c r="H29" s="176" t="e">
        <f>G29/$G$50</f>
        <v>#VALUE!</v>
      </c>
    </row>
    <row r="30" spans="1:10" s="90" customFormat="1">
      <c r="A30" s="172" t="s">
        <v>182</v>
      </c>
      <c r="B30" s="264" t="str">
        <f>Custos!B39</f>
        <v>Equipe de topografia de campo</v>
      </c>
      <c r="C30" s="174" t="str">
        <f>Custos!G39</f>
        <v>preencher</v>
      </c>
      <c r="D30" s="212" t="str">
        <f>Custos!E39</f>
        <v>mês</v>
      </c>
      <c r="E30" s="407">
        <v>0.2</v>
      </c>
      <c r="F30" s="169" t="e">
        <f>ROUND(C30*E30,2)</f>
        <v>#VALUE!</v>
      </c>
      <c r="G30" s="169" t="e">
        <f>ROUND((F30*K!$G$24),2)</f>
        <v>#VALUE!</v>
      </c>
      <c r="H30" s="176" t="e">
        <f>G30/$G$50</f>
        <v>#VALUE!</v>
      </c>
    </row>
    <row r="31" spans="1:10" s="90" customFormat="1">
      <c r="A31" s="172" t="s">
        <v>184</v>
      </c>
      <c r="B31" s="264" t="str">
        <f>Custos!B40</f>
        <v>Equipe de topografia de escritório</v>
      </c>
      <c r="C31" s="174" t="str">
        <f>Custos!G40</f>
        <v>preencher</v>
      </c>
      <c r="D31" s="212" t="str">
        <f>Custos!E40</f>
        <v>mês</v>
      </c>
      <c r="E31" s="407">
        <v>0.1</v>
      </c>
      <c r="F31" s="169" t="e">
        <f>ROUND(C31*E31,2)</f>
        <v>#VALUE!</v>
      </c>
      <c r="G31" s="169" t="e">
        <f>ROUND((F31*K!$G$24),2)</f>
        <v>#VALUE!</v>
      </c>
      <c r="H31" s="176" t="e">
        <f>G31/$G$50</f>
        <v>#VALUE!</v>
      </c>
    </row>
    <row r="32" spans="1:10" ht="10.5" customHeight="1">
      <c r="A32" s="129"/>
      <c r="B32" s="131"/>
      <c r="C32" s="128"/>
      <c r="D32" s="212"/>
      <c r="E32" s="293"/>
      <c r="F32" s="122"/>
      <c r="G32" s="122"/>
      <c r="H32" s="148"/>
    </row>
    <row r="33" spans="1:8" s="89" customFormat="1" ht="18" customHeight="1">
      <c r="A33" s="119" t="s">
        <v>59</v>
      </c>
      <c r="B33" s="132"/>
      <c r="C33" s="121"/>
      <c r="D33" s="119"/>
      <c r="E33" s="296"/>
      <c r="F33" s="120"/>
      <c r="G33" s="133" t="e">
        <f>SUM(G35:G36)</f>
        <v>#VALUE!</v>
      </c>
      <c r="H33" s="254" t="e">
        <f>SUM(H35:H36)</f>
        <v>#VALUE!</v>
      </c>
    </row>
    <row r="34" spans="1:8" s="90" customFormat="1">
      <c r="A34" s="172" t="s">
        <v>179</v>
      </c>
      <c r="B34" s="264" t="str">
        <f>Custos!B32</f>
        <v>Sondagem a percussao - mobilizacao e desmobilizacao</v>
      </c>
      <c r="C34" s="174" t="str">
        <f>Custos!G32</f>
        <v>preencher</v>
      </c>
      <c r="D34" s="212" t="str">
        <f>Custos!E32</f>
        <v>unidade</v>
      </c>
      <c r="E34" s="407">
        <v>0</v>
      </c>
      <c r="F34" s="169" t="e">
        <f>ROUND(C34*E34,2)</f>
        <v>#VALUE!</v>
      </c>
      <c r="G34" s="169" t="e">
        <f>ROUND((F34*K!$G$24),2)</f>
        <v>#VALUE!</v>
      </c>
      <c r="H34" s="176" t="e">
        <f>G34/$G$50</f>
        <v>#VALUE!</v>
      </c>
    </row>
    <row r="35" spans="1:8" s="90" customFormat="1" ht="26.45" customHeight="1">
      <c r="A35" s="172" t="s">
        <v>182</v>
      </c>
      <c r="B35" s="277" t="str">
        <f>Custos!B33</f>
        <v>Sondagem a percussao - adicional de mobilizacao e desmobilizacao</v>
      </c>
      <c r="C35" s="174" t="str">
        <f>Custos!G33</f>
        <v>preencher</v>
      </c>
      <c r="D35" s="265" t="str">
        <f>Custos!E33</f>
        <v>km</v>
      </c>
      <c r="E35" s="407">
        <v>0</v>
      </c>
      <c r="F35" s="169" t="e">
        <f>ROUND(C35*E35,2)</f>
        <v>#VALUE!</v>
      </c>
      <c r="G35" s="169" t="e">
        <f>ROUND((F35*K!$G$24),2)</f>
        <v>#VALUE!</v>
      </c>
      <c r="H35" s="175" t="e">
        <f>G35/$G$50</f>
        <v>#VALUE!</v>
      </c>
    </row>
    <row r="36" spans="1:8" s="90" customFormat="1">
      <c r="A36" s="172" t="s">
        <v>184</v>
      </c>
      <c r="B36" s="264" t="str">
        <f>Custos!B34</f>
        <v>Sondagem a percussao - instalacao por furo</v>
      </c>
      <c r="C36" s="174" t="str">
        <f>Custos!G34</f>
        <v>preencher</v>
      </c>
      <c r="D36" s="212" t="str">
        <f>Custos!E34</f>
        <v>unidade</v>
      </c>
      <c r="E36" s="407">
        <v>0</v>
      </c>
      <c r="F36" s="169" t="e">
        <f>ROUND(C36*E36,2)</f>
        <v>#VALUE!</v>
      </c>
      <c r="G36" s="169" t="e">
        <f>ROUND((F36*K!$G$24),2)</f>
        <v>#VALUE!</v>
      </c>
      <c r="H36" s="176" t="e">
        <f>G36/$G$50</f>
        <v>#VALUE!</v>
      </c>
    </row>
    <row r="37" spans="1:8" s="90" customFormat="1" ht="26.45" customHeight="1">
      <c r="A37" s="172" t="s">
        <v>186</v>
      </c>
      <c r="B37" s="277" t="str">
        <f>Custos!B35</f>
        <v>Sondagem a percussao ø2.1/2" - perfuracao e retirada de amostras</v>
      </c>
      <c r="C37" s="174" t="str">
        <f>Custos!G35</f>
        <v>preencher</v>
      </c>
      <c r="D37" s="265" t="str">
        <f>Custos!E35</f>
        <v>m</v>
      </c>
      <c r="E37" s="410">
        <v>0</v>
      </c>
      <c r="F37" s="169" t="e">
        <f>ROUND(C37*E37,2)</f>
        <v>#VALUE!</v>
      </c>
      <c r="G37" s="169" t="e">
        <f>ROUND((F37*K!$G$24),2)</f>
        <v>#VALUE!</v>
      </c>
      <c r="H37" s="176" t="e">
        <f>G37/$G$50</f>
        <v>#VALUE!</v>
      </c>
    </row>
    <row r="38" spans="1:8" ht="6" customHeight="1">
      <c r="A38" s="123"/>
      <c r="B38" s="124"/>
      <c r="C38" s="125"/>
      <c r="D38" s="146"/>
      <c r="E38" s="289"/>
      <c r="F38" s="126"/>
      <c r="G38" s="126"/>
      <c r="H38" s="149"/>
    </row>
    <row r="39" spans="1:8" s="89" customFormat="1" ht="18" customHeight="1">
      <c r="A39" s="119" t="s">
        <v>60</v>
      </c>
      <c r="B39" s="132"/>
      <c r="C39" s="121"/>
      <c r="D39" s="119"/>
      <c r="E39" s="296"/>
      <c r="F39" s="120"/>
      <c r="G39" s="133" t="e">
        <f>SUM(G40:G41)</f>
        <v>#VALUE!</v>
      </c>
      <c r="H39" s="254" t="e">
        <f>SUM(H40:H41)</f>
        <v>#VALUE!</v>
      </c>
    </row>
    <row r="40" spans="1:8" s="90" customFormat="1">
      <c r="A40" s="172" t="s">
        <v>179</v>
      </c>
      <c r="B40" s="264" t="str">
        <f>Custos!B43</f>
        <v>Equipe de topografia de campo</v>
      </c>
      <c r="C40" s="174" t="str">
        <f>Custos!G43</f>
        <v>preencher</v>
      </c>
      <c r="D40" s="212" t="str">
        <f>Custos!E43</f>
        <v>mês</v>
      </c>
      <c r="E40" s="407">
        <v>0</v>
      </c>
      <c r="F40" s="169" t="e">
        <f>ROUND(C40*E40,2)</f>
        <v>#VALUE!</v>
      </c>
      <c r="G40" s="169" t="e">
        <f>ROUND((F40*K!$G$24),2)</f>
        <v>#VALUE!</v>
      </c>
      <c r="H40" s="176" t="e">
        <f>G40/$G$50</f>
        <v>#VALUE!</v>
      </c>
    </row>
    <row r="41" spans="1:8" s="90" customFormat="1">
      <c r="A41" s="172" t="s">
        <v>182</v>
      </c>
      <c r="B41" s="264" t="str">
        <f>Custos!B44</f>
        <v>Equipe de topografia de escritório</v>
      </c>
      <c r="C41" s="174" t="str">
        <f>Custos!G44</f>
        <v>preencher</v>
      </c>
      <c r="D41" s="212" t="str">
        <f>Custos!E44</f>
        <v>mês</v>
      </c>
      <c r="E41" s="407">
        <v>0</v>
      </c>
      <c r="F41" s="169" t="e">
        <f>ROUND(C41*E41,2)</f>
        <v>#VALUE!</v>
      </c>
      <c r="G41" s="169" t="e">
        <f>ROUND((F41*K!$G$24),2)</f>
        <v>#VALUE!</v>
      </c>
      <c r="H41" s="176" t="e">
        <f>G41/$G$50</f>
        <v>#VALUE!</v>
      </c>
    </row>
    <row r="42" spans="1:8" ht="5.0999999999999996" customHeight="1">
      <c r="A42" s="172"/>
      <c r="B42" s="134"/>
      <c r="C42" s="128"/>
      <c r="D42" s="167"/>
      <c r="E42" s="293"/>
      <c r="F42" s="122"/>
      <c r="G42" s="122"/>
      <c r="H42" s="148"/>
    </row>
    <row r="43" spans="1:8" s="89" customFormat="1" ht="18" customHeight="1">
      <c r="A43" s="245" t="s">
        <v>255</v>
      </c>
      <c r="B43" s="143"/>
      <c r="C43" s="144"/>
      <c r="D43" s="142"/>
      <c r="E43" s="295"/>
      <c r="F43" s="143"/>
      <c r="G43" s="250" t="e">
        <f>G45</f>
        <v>#VALUE!</v>
      </c>
      <c r="H43" s="240" t="e">
        <f>G43/$G$50</f>
        <v>#VALUE!</v>
      </c>
    </row>
    <row r="44" spans="1:8" ht="5.0999999999999996" customHeight="1">
      <c r="A44" s="246"/>
      <c r="B44" s="134"/>
      <c r="C44" s="128"/>
      <c r="D44" s="122"/>
      <c r="E44" s="293"/>
      <c r="F44" s="122"/>
      <c r="G44" s="122"/>
      <c r="H44" s="148"/>
    </row>
    <row r="45" spans="1:8" s="89" customFormat="1" ht="18" customHeight="1">
      <c r="A45" s="119" t="s">
        <v>71</v>
      </c>
      <c r="B45" s="120"/>
      <c r="C45" s="121"/>
      <c r="D45" s="119"/>
      <c r="E45" s="296"/>
      <c r="F45" s="120"/>
      <c r="G45" s="138" t="e">
        <f>SUM(G46:G48)</f>
        <v>#VALUE!</v>
      </c>
      <c r="H45" s="253" t="e">
        <f>SUM(H46:H48)</f>
        <v>#VALUE!</v>
      </c>
    </row>
    <row r="46" spans="1:8" s="90" customFormat="1">
      <c r="A46" s="172" t="s">
        <v>179</v>
      </c>
      <c r="B46" s="173" t="str">
        <f>Custos!B49</f>
        <v>Veículo tipo pick-up 4X4</v>
      </c>
      <c r="C46" s="174" t="e">
        <f>'P1'!C46</f>
        <v>#VALUE!</v>
      </c>
      <c r="D46" s="212" t="str">
        <f>'P1'!D46</f>
        <v>R$/dia</v>
      </c>
      <c r="E46" s="407">
        <v>0</v>
      </c>
      <c r="F46" s="169" t="e">
        <f>ROUND(C46*E46,2)</f>
        <v>#VALUE!</v>
      </c>
      <c r="G46" s="169" t="e">
        <f>ROUND((F46*K!$G$25),2)</f>
        <v>#VALUE!</v>
      </c>
      <c r="H46" s="176" t="e">
        <f>G46/$G$50</f>
        <v>#VALUE!</v>
      </c>
    </row>
    <row r="47" spans="1:8" s="90" customFormat="1" ht="16.149999999999999" customHeight="1">
      <c r="A47" s="172" t="s">
        <v>182</v>
      </c>
      <c r="B47" s="173" t="str">
        <f>Custos!B50</f>
        <v>Refeições</v>
      </c>
      <c r="C47" s="174" t="str">
        <f>'P1'!C47</f>
        <v>preencher</v>
      </c>
      <c r="D47" s="212" t="str">
        <f>'P1'!D47</f>
        <v>unidade</v>
      </c>
      <c r="E47" s="407">
        <v>0</v>
      </c>
      <c r="F47" s="169" t="e">
        <f>ROUND(C47*E47,2)</f>
        <v>#VALUE!</v>
      </c>
      <c r="G47" s="169" t="e">
        <f>ROUND((F47*K!$G$25),2)</f>
        <v>#VALUE!</v>
      </c>
      <c r="H47" s="176" t="e">
        <f>G47/$G$50</f>
        <v>#VALUE!</v>
      </c>
    </row>
    <row r="48" spans="1:8" s="90" customFormat="1" ht="16.149999999999999" customHeight="1">
      <c r="A48" s="172" t="s">
        <v>184</v>
      </c>
      <c r="B48" s="173" t="str">
        <f>Custos!B51</f>
        <v>Diárias</v>
      </c>
      <c r="C48" s="174" t="str">
        <f>'P1'!C48</f>
        <v>preencher</v>
      </c>
      <c r="D48" s="212" t="str">
        <f>'P1'!D48</f>
        <v>unidade</v>
      </c>
      <c r="E48" s="407">
        <v>0</v>
      </c>
      <c r="F48" s="169" t="e">
        <f>ROUND(C48*E48,2)</f>
        <v>#VALUE!</v>
      </c>
      <c r="G48" s="169" t="e">
        <f>ROUND((F48*K!$G$25),2)</f>
        <v>#VALUE!</v>
      </c>
      <c r="H48" s="176" t="e">
        <f>G48/$G$50</f>
        <v>#VALUE!</v>
      </c>
    </row>
    <row r="49" spans="1:9" ht="6" customHeight="1">
      <c r="A49" s="117"/>
      <c r="B49" s="135"/>
      <c r="C49" s="136"/>
      <c r="D49" s="146"/>
      <c r="E49" s="126"/>
      <c r="F49" s="126"/>
      <c r="G49" s="137"/>
      <c r="H49" s="150"/>
    </row>
    <row r="50" spans="1:9" ht="18" customHeight="1">
      <c r="A50" s="464" t="s">
        <v>256</v>
      </c>
      <c r="B50" s="464"/>
      <c r="C50" s="247"/>
      <c r="D50" s="248"/>
      <c r="E50" s="249"/>
      <c r="F50" s="247" t="s">
        <v>237</v>
      </c>
      <c r="G50" s="247" t="e">
        <f>ROUND((G7+G16+G26+G43),2)</f>
        <v>#VALUE!</v>
      </c>
      <c r="H50" s="252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0"/>
    </row>
    <row r="52" spans="1:9" ht="20.100000000000001" customHeight="1">
      <c r="A52" s="465" t="s">
        <v>286</v>
      </c>
      <c r="B52" s="465"/>
      <c r="C52" s="465"/>
      <c r="D52" s="465"/>
      <c r="E52" s="465"/>
      <c r="F52" s="465"/>
      <c r="G52" s="465"/>
      <c r="H52" s="465"/>
    </row>
    <row r="53" spans="1:9" ht="13.15" customHeight="1">
      <c r="A53" s="465" t="s">
        <v>287</v>
      </c>
      <c r="B53" s="465"/>
      <c r="C53" s="465"/>
      <c r="D53" s="465"/>
      <c r="E53" s="465"/>
      <c r="F53" s="465"/>
      <c r="G53" s="465"/>
      <c r="H53" s="465"/>
    </row>
    <row r="54" spans="1:9" ht="13.15" customHeight="1">
      <c r="A54" s="465" t="s">
        <v>288</v>
      </c>
      <c r="B54" s="465"/>
      <c r="C54" s="465"/>
      <c r="D54" s="465"/>
      <c r="E54" s="465"/>
      <c r="F54" s="465"/>
      <c r="G54" s="465"/>
      <c r="H54" s="465"/>
    </row>
    <row r="55" spans="1:9" ht="13.15" customHeight="1">
      <c r="A55" s="118"/>
      <c r="B55" s="461"/>
      <c r="C55" s="461"/>
      <c r="D55" s="461"/>
      <c r="E55" s="461"/>
      <c r="F55" s="461"/>
      <c r="G55" s="461"/>
      <c r="H55" s="461"/>
    </row>
    <row r="56" spans="1:9" ht="13.15" customHeight="1">
      <c r="A56" s="118"/>
      <c r="B56" s="225"/>
      <c r="C56" s="225"/>
      <c r="D56" s="225"/>
      <c r="E56" s="225"/>
      <c r="F56" s="225"/>
      <c r="G56" s="225"/>
      <c r="H56" s="225"/>
    </row>
    <row r="57" spans="1:9" ht="13.15" customHeight="1">
      <c r="A57" s="459"/>
      <c r="B57" s="459"/>
      <c r="C57" s="459"/>
      <c r="D57" s="459"/>
      <c r="E57" s="459"/>
      <c r="F57" s="459"/>
      <c r="G57" s="225"/>
      <c r="H57" s="225"/>
    </row>
    <row r="58" spans="1:9" ht="13.15" customHeight="1">
      <c r="A58" s="460"/>
      <c r="B58" s="460"/>
      <c r="C58" s="460"/>
      <c r="D58" s="460"/>
      <c r="E58" s="460"/>
      <c r="F58" s="460"/>
      <c r="G58" s="225"/>
      <c r="H58" s="225"/>
    </row>
    <row r="59" spans="1:9" ht="13.15" customHeight="1">
      <c r="A59" s="460"/>
      <c r="B59" s="460"/>
      <c r="C59" s="460"/>
      <c r="D59" s="460"/>
      <c r="E59" s="460"/>
      <c r="F59" s="460"/>
      <c r="G59" s="225"/>
      <c r="H59" s="225"/>
    </row>
    <row r="60" spans="1:9">
      <c r="A60" s="331"/>
      <c r="B60" s="97"/>
      <c r="D60" s="97"/>
      <c r="E60" s="97"/>
      <c r="I60"/>
    </row>
    <row r="61" spans="1:9" ht="15" customHeight="1">
      <c r="A61" s="459"/>
      <c r="B61" s="459"/>
      <c r="C61" s="459"/>
      <c r="D61" s="459"/>
      <c r="E61" s="459"/>
      <c r="F61" s="459"/>
      <c r="G61" s="271"/>
      <c r="H61" s="258"/>
      <c r="I61"/>
    </row>
    <row r="62" spans="1:9" ht="15" customHeight="1">
      <c r="A62" s="460"/>
      <c r="B62" s="460"/>
      <c r="C62" s="460"/>
      <c r="D62" s="460"/>
      <c r="E62" s="460"/>
      <c r="F62" s="460"/>
      <c r="G62" s="257"/>
      <c r="H62" s="258"/>
    </row>
    <row r="63" spans="1:9" ht="15" customHeight="1">
      <c r="A63" s="460"/>
      <c r="B63" s="460"/>
      <c r="C63" s="460"/>
      <c r="D63" s="460"/>
      <c r="E63" s="460"/>
      <c r="F63" s="460"/>
      <c r="G63" s="126"/>
      <c r="H63" s="259"/>
      <c r="I63" s="89"/>
    </row>
  </sheetData>
  <sheetProtection algorithmName="SHA-512" hashValue="4Q5i0yyq4Owu2N8ZsCy+1gU6arhbTDbw6hWd3rQ/WwKYbHwrB2HsdUknES/+jISiw+vmT0il23wUR3h7Fj4pFQ==" saltValue="WBA6NJNtkwY2pKrv0PFYWA==" spinCount="100000" sheet="1" objects="1" scenarios="1"/>
  <mergeCells count="19">
    <mergeCell ref="A54:H54"/>
    <mergeCell ref="B1:H1"/>
    <mergeCell ref="C6:D6"/>
    <mergeCell ref="A50:B50"/>
    <mergeCell ref="A52:H52"/>
    <mergeCell ref="A53:H53"/>
    <mergeCell ref="A61:B61"/>
    <mergeCell ref="A62:B62"/>
    <mergeCell ref="A63:B63"/>
    <mergeCell ref="B55:H55"/>
    <mergeCell ref="C57:F57"/>
    <mergeCell ref="C58:F58"/>
    <mergeCell ref="C59:F59"/>
    <mergeCell ref="C61:F61"/>
    <mergeCell ref="C62:F62"/>
    <mergeCell ref="C63:F63"/>
    <mergeCell ref="A57:B57"/>
    <mergeCell ref="A58:B58"/>
    <mergeCell ref="A59:B59"/>
  </mergeCells>
  <conditionalFormatting sqref="A52:H54">
    <cfRule type="containsText" dxfId="9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3A0AECF16DCE43814DAC9BA31E4679" ma:contentTypeVersion="20" ma:contentTypeDescription="Crie um novo documento." ma:contentTypeScope="" ma:versionID="d2104c7ca743d815fc8b176931143da9">
  <xsd:schema xmlns:xsd="http://www.w3.org/2001/XMLSchema" xmlns:xs="http://www.w3.org/2001/XMLSchema" xmlns:p="http://schemas.microsoft.com/office/2006/metadata/properties" xmlns:ns2="f713f894-8e5f-49bb-aba3-bc5acb6c15a1" xmlns:ns3="2654f1fe-3808-4788-a1c9-5f0b422ba0d6" targetNamespace="http://schemas.microsoft.com/office/2006/metadata/properties" ma:root="true" ma:fieldsID="bce4294fc4f26fdb9fe479a6ef7f6845" ns2:_="" ns3:_="">
    <xsd:import namespace="f713f894-8e5f-49bb-aba3-bc5acb6c15a1"/>
    <xsd:import namespace="2654f1fe-3808-4788-a1c9-5f0b422ba0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GPS20_x002d_04" minOccurs="0"/>
                <xsd:element ref="ns2:_x0020__x0020__x0020__x0020_" minOccurs="0"/>
                <xsd:element ref="ns2:MediaServiceObjectDetectorVersion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3f894-8e5f-49bb-aba3-bc5acb6c15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37a9c149-240b-4054-b6f2-0d1c435622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GPS20_x002d_04" ma:index="24" nillable="true" ma:displayName="GPS 20-04" ma:format="Dropdown" ma:internalName="GPS20_x002d_04">
      <xsd:simpleType>
        <xsd:restriction base="dms:Text">
          <xsd:maxLength value="255"/>
        </xsd:restriction>
      </xsd:simpleType>
    </xsd:element>
    <xsd:element name="_x0020__x0020__x0020__x0020_" ma:index="25" nillable="true" ma:displayName="    " ma:format="Dropdown" ma:internalName="_x0020__x0020__x0020__x0020_">
      <xsd:simpleType>
        <xsd:restriction base="dms:Text">
          <xsd:maxLength value="255"/>
        </xsd:restriction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7" nillable="true" ma:displayName="Status de liberação" ma:internalName="Status_x0020_de_x0020_libera_x00e7__x00e3_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54f1fe-3808-4788-a1c9-5f0b422ba0d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401889a-5795-441c-8727-ad37507fe82d}" ma:internalName="TaxCatchAll" ma:showField="CatchAllData" ma:web="2654f1fe-3808-4788-a1c9-5f0b422ba0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713f894-8e5f-49bb-aba3-bc5acb6c15a1">
      <Terms xmlns="http://schemas.microsoft.com/office/infopath/2007/PartnerControls"/>
    </lcf76f155ced4ddcb4097134ff3c332f>
    <TaxCatchAll xmlns="2654f1fe-3808-4788-a1c9-5f0b422ba0d6" xsi:nil="true"/>
    <GPS20_x002d_04 xmlns="f713f894-8e5f-49bb-aba3-bc5acb6c15a1" xsi:nil="true"/>
    <_x0020__x0020__x0020__x0020_ xmlns="f713f894-8e5f-49bb-aba3-bc5acb6c15a1" xsi:nil="true"/>
    <_Flow_SignoffStatus xmlns="f713f894-8e5f-49bb-aba3-bc5acb6c15a1" xsi:nil="true"/>
  </documentManagement>
</p:properties>
</file>

<file path=customXml/itemProps1.xml><?xml version="1.0" encoding="utf-8"?>
<ds:datastoreItem xmlns:ds="http://schemas.openxmlformats.org/officeDocument/2006/customXml" ds:itemID="{9E8399D0-9FF4-4B08-A740-5781573A5F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07F6EB-A3B3-4C87-BF4C-A32B6B21057F}"/>
</file>

<file path=customXml/itemProps3.xml><?xml version="1.0" encoding="utf-8"?>
<ds:datastoreItem xmlns:ds="http://schemas.openxmlformats.org/officeDocument/2006/customXml" ds:itemID="{B0FA088B-4D10-4E29-911A-9BA755FD0F16}">
  <ds:schemaRefs>
    <ds:schemaRef ds:uri="http://schemas.microsoft.com/office/2006/metadata/properties"/>
    <ds:schemaRef ds:uri="http://schemas.microsoft.com/office/infopath/2007/PartnerControls"/>
    <ds:schemaRef ds:uri="f713f894-8e5f-49bb-aba3-bc5acb6c15a1"/>
    <ds:schemaRef ds:uri="2654f1fe-3808-4788-a1c9-5f0b422ba0d6"/>
  </ds:schemaRefs>
</ds:datastoreItem>
</file>

<file path=docMetadata/LabelInfo.xml><?xml version="1.0" encoding="utf-8"?>
<clbl:labelList xmlns:clbl="http://schemas.microsoft.com/office/2020/mipLabelMetadata">
  <clbl:label id="{c135c4ba-2280-41f8-be7d-6f21d368baa3}" enabled="1" method="Standard" siteId="{24139d14-c62c-4c47-8bdd-ce71ea1d50cf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19</vt:i4>
      </vt:variant>
      <vt:variant>
        <vt:lpstr>Intervalos Nomeados</vt:lpstr>
      </vt:variant>
      <vt:variant>
        <vt:i4>27</vt:i4>
      </vt:variant>
    </vt:vector>
  </HeadingPairs>
  <TitlesOfParts>
    <vt:vector size="46" baseType="lpstr">
      <vt:lpstr>Capa</vt:lpstr>
      <vt:lpstr>Orç_20-30</vt:lpstr>
      <vt:lpstr>Crono_20-30</vt:lpstr>
      <vt:lpstr>Definições</vt:lpstr>
      <vt:lpstr>Município</vt:lpstr>
      <vt:lpstr>Custos</vt:lpstr>
      <vt:lpstr>K</vt:lpstr>
      <vt:lpstr>P1</vt:lpstr>
      <vt:lpstr>P2</vt:lpstr>
      <vt:lpstr>P3</vt:lpstr>
      <vt:lpstr>P4</vt:lpstr>
      <vt:lpstr>P5</vt:lpstr>
      <vt:lpstr>P6</vt:lpstr>
      <vt:lpstr>P7a</vt:lpstr>
      <vt:lpstr>P7b</vt:lpstr>
      <vt:lpstr>P8</vt:lpstr>
      <vt:lpstr>Produto Consolidado</vt:lpstr>
      <vt:lpstr>Cronograma</vt:lpstr>
      <vt:lpstr>CPP</vt:lpstr>
      <vt:lpstr>Capa!Area_de_impressao</vt:lpstr>
      <vt:lpstr>CPP!Area_de_impressao</vt:lpstr>
      <vt:lpstr>'Crono_20-30'!Area_de_impressao</vt:lpstr>
      <vt:lpstr>Cronograma!Area_de_impressao</vt:lpstr>
      <vt:lpstr>Custos!Area_de_impressao</vt:lpstr>
      <vt:lpstr>Definições!Area_de_impressao</vt:lpstr>
      <vt:lpstr>K!Area_de_impressao</vt:lpstr>
      <vt:lpstr>Município!Area_de_impressao</vt:lpstr>
      <vt:lpstr>'Orç_20-30'!Area_de_impressao</vt:lpstr>
      <vt:lpstr>'P1'!Area_de_impressao</vt:lpstr>
      <vt:lpstr>'P2'!Area_de_impressao</vt:lpstr>
      <vt:lpstr>'P3'!Area_de_impressao</vt:lpstr>
      <vt:lpstr>'P4'!Area_de_impressao</vt:lpstr>
      <vt:lpstr>'P5'!Area_de_impressao</vt:lpstr>
      <vt:lpstr>'P6'!Area_de_impressao</vt:lpstr>
      <vt:lpstr>P7a!Area_de_impressao</vt:lpstr>
      <vt:lpstr>'P8'!Area_de_impressao</vt:lpstr>
      <vt:lpstr>'Produto Consolidado'!Area_de_impressao</vt:lpstr>
      <vt:lpstr>'P1'!Titulos_de_impressao</vt:lpstr>
      <vt:lpstr>'P2'!Titulos_de_impressao</vt:lpstr>
      <vt:lpstr>'P3'!Titulos_de_impressao</vt:lpstr>
      <vt:lpstr>'P4'!Titulos_de_impressao</vt:lpstr>
      <vt:lpstr>'P5'!Titulos_de_impressao</vt:lpstr>
      <vt:lpstr>'P6'!Titulos_de_impressao</vt:lpstr>
      <vt:lpstr>P7a!Titulos_de_impressao</vt:lpstr>
      <vt:lpstr>'P8'!Titulos_de_impressao</vt:lpstr>
      <vt:lpstr>'Produto Consolidado'!Titulos_de_impressao</vt:lpstr>
    </vt:vector>
  </TitlesOfParts>
  <Manager/>
  <Company>Serenco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TEIXEIRA Tereza (TRACTEBEL - BRAZIL)</cp:lastModifiedBy>
  <cp:revision/>
  <cp:lastPrinted>2023-09-12T23:00:41Z</cp:lastPrinted>
  <dcterms:created xsi:type="dcterms:W3CDTF">2009-02-03T12:18:48Z</dcterms:created>
  <dcterms:modified xsi:type="dcterms:W3CDTF">2023-09-28T20:19:38Z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0x010100E13A0AECF16DCE43814DAC9BA31E4679</vt:lpwstr>
  </property>
  <property fmtid="{D5CDD505-2E9C-101B-9397-08002B2CF9AE}" pid="3" name="MediaServiceImageTags">
    <vt:lpwstr/>
  </property>
</Properties>
</file>