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59E51609-C548-4FD6-9502-1B9F05782359}" xr6:coauthVersionLast="47" xr6:coauthVersionMax="47" xr10:uidLastSave="{00000000-0000-0000-0000-000000000000}"/>
  <bookViews>
    <workbookView xWindow="-28920" yWindow="-5760" windowWidth="29040" windowHeight="15840" tabRatio="867" firstSheet="14" activeTab="26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DNIT04.23" sheetId="161" state="hidden" r:id="rId7"/>
    <sheet name="Coluna 39 FGV" sheetId="159" r:id="rId8"/>
    <sheet name="K" sheetId="115" r:id="rId9"/>
    <sheet name="Dias trabalhados" sheetId="95" r:id="rId10"/>
    <sheet name="Deslocamento" sheetId="129" r:id="rId11"/>
    <sheet name="Equipe" sheetId="158" r:id="rId12"/>
    <sheet name="Topografia para Projeto" sheetId="110" r:id="rId13"/>
    <sheet name="Cadastro Técnico" sheetId="157" r:id="rId14"/>
    <sheet name="Despesas diretas" sheetId="111" r:id="rId15"/>
    <sheet name="Horas trabalhadas" sheetId="116" r:id="rId16"/>
    <sheet name="Serviços" sheetId="117" r:id="rId17"/>
    <sheet name="P1" sheetId="138" r:id="rId18"/>
    <sheet name="P2" sheetId="146" r:id="rId19"/>
    <sheet name="P3" sheetId="147" r:id="rId20"/>
    <sheet name="P4" sheetId="149" r:id="rId21"/>
    <sheet name="P5" sheetId="150" r:id="rId22"/>
    <sheet name="P6" sheetId="151" r:id="rId23"/>
    <sheet name="P7a" sheetId="153" r:id="rId24"/>
    <sheet name="P7b" sheetId="160" r:id="rId25"/>
    <sheet name="P8" sheetId="152" r:id="rId26"/>
    <sheet name="Produto Consolidado" sheetId="145" r:id="rId27"/>
    <sheet name="Cronograma" sheetId="66" r:id="rId28"/>
    <sheet name="CPP" sheetId="125" r:id="rId29"/>
  </sheets>
  <externalReferences>
    <externalReference r:id="rId30"/>
    <externalReference r:id="rId31"/>
  </externalReferences>
  <definedNames>
    <definedName name="_xlnm.Print_Area" localSheetId="13">'Cadastro Técnico'!$A$1:$F$13</definedName>
    <definedName name="_xlnm.Print_Area" localSheetId="0">Capa!$A$1:$J$55</definedName>
    <definedName name="_xlnm.Print_Area" localSheetId="7">'Coluna 39 FGV'!$A$1:$M$24</definedName>
    <definedName name="_xlnm.Print_Area" localSheetId="28">CPP!$A$1:$E$17</definedName>
    <definedName name="_xlnm.Print_Area" localSheetId="2">'Crono_20-30'!$A$2:$H$30</definedName>
    <definedName name="_xlnm.Print_Area" localSheetId="27">Cronograma!$A$1:$BN$43</definedName>
    <definedName name="_xlnm.Print_Area" localSheetId="5">Custos!$A$1:$J$60</definedName>
    <definedName name="_xlnm.Print_Area" localSheetId="3">Definições!$A$1:$J$50</definedName>
    <definedName name="_xlnm.Print_Area" localSheetId="10">Deslocamento!$A$1:$K$28</definedName>
    <definedName name="_xlnm.Print_Area" localSheetId="14">'Despesas diretas'!$A$1:$G$10</definedName>
    <definedName name="_xlnm.Print_Area" localSheetId="9">'Dias trabalhados'!$A$1:$H$49</definedName>
    <definedName name="_xlnm.Print_Area" localSheetId="15">'Horas trabalhadas'!$A$1:$K$20</definedName>
    <definedName name="_xlnm.Print_Area" localSheetId="8">K!$A$1:$G$26</definedName>
    <definedName name="_xlnm.Print_Area" localSheetId="4">Município!$A$1:$H$27</definedName>
    <definedName name="_xlnm.Print_Area" localSheetId="1">'Orç_20-30'!$A$1:$G$82</definedName>
    <definedName name="_xlnm.Print_Area" localSheetId="17">'P1'!$A$1:$J$63</definedName>
    <definedName name="_xlnm.Print_Area" localSheetId="18">'P2'!$A$1:$J$63</definedName>
    <definedName name="_xlnm.Print_Area" localSheetId="19">'P3'!$A$1:$J$63</definedName>
    <definedName name="_xlnm.Print_Area" localSheetId="20">'P4'!$A$1:$J$63</definedName>
    <definedName name="_xlnm.Print_Area" localSheetId="21">'P5'!$A$1:$J$63</definedName>
    <definedName name="_xlnm.Print_Area" localSheetId="22">'P6'!$A$1:$J$63</definedName>
    <definedName name="_xlnm.Print_Area" localSheetId="23">P7a!$A$1:$J$63</definedName>
    <definedName name="_xlnm.Print_Area" localSheetId="24">P7b!$A$1:$J$63</definedName>
    <definedName name="_xlnm.Print_Area" localSheetId="25">'P8'!$A$1:$J$63</definedName>
    <definedName name="_xlnm.Print_Area" localSheetId="26">'Produto Consolidado'!$A$1:$J$63</definedName>
    <definedName name="_xlnm.Print_Area" localSheetId="16">Serviços!$A$1:$M$21</definedName>
    <definedName name="_xlnm.Print_Area" localSheetId="12">'Topografia para Projeto'!$A$1:$F$21</definedName>
    <definedName name="_xlnm.Print_Titles" localSheetId="17">'P1'!$1:$4</definedName>
    <definedName name="_xlnm.Print_Titles" localSheetId="18">'P2'!$1:$4</definedName>
    <definedName name="_xlnm.Print_Titles" localSheetId="19">'P3'!$1:$4</definedName>
    <definedName name="_xlnm.Print_Titles" localSheetId="20">'P4'!$1:$4</definedName>
    <definedName name="_xlnm.Print_Titles" localSheetId="21">'P5'!$1:$4</definedName>
    <definedName name="_xlnm.Print_Titles" localSheetId="22">'P6'!$1:$4</definedName>
    <definedName name="_xlnm.Print_Titles" localSheetId="23">P7a!$1:$4</definedName>
    <definedName name="_xlnm.Print_Titles" localSheetId="24">P7b!$1:$4</definedName>
    <definedName name="_xlnm.Print_Titles" localSheetId="25">'P8'!$1:$4</definedName>
    <definedName name="_xlnm.Print_Titles" localSheetId="2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50" l="1"/>
  <c r="C13" i="150"/>
  <c r="D13" i="150"/>
  <c r="E13" i="150"/>
  <c r="B14" i="150"/>
  <c r="C14" i="150"/>
  <c r="D14" i="150"/>
  <c r="E14" i="150"/>
  <c r="G14" i="150"/>
  <c r="H14" i="150"/>
  <c r="I14" i="150" s="1"/>
  <c r="B13" i="151"/>
  <c r="C13" i="151"/>
  <c r="D13" i="151"/>
  <c r="E13" i="151"/>
  <c r="G13" i="151"/>
  <c r="H13" i="151"/>
  <c r="I13" i="151" s="1"/>
  <c r="B14" i="151"/>
  <c r="C14" i="151"/>
  <c r="D14" i="151"/>
  <c r="E14" i="151"/>
  <c r="G14" i="151"/>
  <c r="H14" i="151"/>
  <c r="I14" i="151" s="1"/>
  <c r="B13" i="153"/>
  <c r="C13" i="153"/>
  <c r="D13" i="153"/>
  <c r="E13" i="153"/>
  <c r="B14" i="153"/>
  <c r="C14" i="153"/>
  <c r="D14" i="153"/>
  <c r="E14" i="153"/>
  <c r="G14" i="153"/>
  <c r="H14" i="153"/>
  <c r="I14" i="153" s="1"/>
  <c r="B13" i="160"/>
  <c r="C13" i="160"/>
  <c r="D13" i="160"/>
  <c r="E13" i="160"/>
  <c r="B14" i="160"/>
  <c r="C14" i="160"/>
  <c r="D14" i="160"/>
  <c r="E14" i="160"/>
  <c r="G14" i="160"/>
  <c r="H14" i="160"/>
  <c r="I14" i="160" s="1"/>
  <c r="B13" i="152"/>
  <c r="C13" i="152"/>
  <c r="D13" i="152"/>
  <c r="E13" i="152"/>
  <c r="B14" i="152"/>
  <c r="C14" i="152"/>
  <c r="D14" i="152"/>
  <c r="E14" i="152"/>
  <c r="G14" i="152"/>
  <c r="H14" i="152"/>
  <c r="I14" i="152" s="1"/>
  <c r="B13" i="145"/>
  <c r="C13" i="145"/>
  <c r="D13" i="145"/>
  <c r="E13" i="145"/>
  <c r="B14" i="145"/>
  <c r="C14" i="145"/>
  <c r="D14" i="145"/>
  <c r="E14" i="145"/>
  <c r="B13" i="149"/>
  <c r="C13" i="149"/>
  <c r="D13" i="149"/>
  <c r="E13" i="149"/>
  <c r="B14" i="149"/>
  <c r="C14" i="149"/>
  <c r="D14" i="149"/>
  <c r="E14" i="149"/>
  <c r="G14" i="149"/>
  <c r="H14" i="149"/>
  <c r="I14" i="149" s="1"/>
  <c r="B13" i="147"/>
  <c r="C13" i="147"/>
  <c r="D13" i="147"/>
  <c r="E13" i="147"/>
  <c r="G13" i="147"/>
  <c r="B14" i="147"/>
  <c r="C14" i="147"/>
  <c r="D14" i="147"/>
  <c r="E14" i="147"/>
  <c r="H14" i="147" s="1"/>
  <c r="I14" i="147" s="1"/>
  <c r="G14" i="147"/>
  <c r="B13" i="146"/>
  <c r="C13" i="146"/>
  <c r="D13" i="146"/>
  <c r="E13" i="146"/>
  <c r="G13" i="146"/>
  <c r="B14" i="146"/>
  <c r="C14" i="146"/>
  <c r="D14" i="146"/>
  <c r="E14" i="146"/>
  <c r="H14" i="146" s="1"/>
  <c r="I14" i="146" s="1"/>
  <c r="G14" i="146"/>
  <c r="G13" i="138"/>
  <c r="H13" i="138" s="1"/>
  <c r="I13" i="138" s="1"/>
  <c r="E13" i="138"/>
  <c r="E14" i="138"/>
  <c r="D13" i="138"/>
  <c r="D14" i="138"/>
  <c r="B13" i="138"/>
  <c r="B14" i="138"/>
  <c r="C13" i="138"/>
  <c r="I10" i="116"/>
  <c r="G10" i="116"/>
  <c r="F10" i="116"/>
  <c r="F14" i="116"/>
  <c r="J13" i="116"/>
  <c r="G13" i="152" s="1"/>
  <c r="H13" i="152" s="1"/>
  <c r="I13" i="152" s="1"/>
  <c r="I13" i="116"/>
  <c r="G13" i="160" s="1"/>
  <c r="H13" i="160" s="1"/>
  <c r="I13" i="160" s="1"/>
  <c r="G13" i="116"/>
  <c r="G13" i="150" s="1"/>
  <c r="H13" i="150" s="1"/>
  <c r="I13" i="150" s="1"/>
  <c r="F13" i="116"/>
  <c r="K13" i="116" s="1"/>
  <c r="E18" i="115"/>
  <c r="E19" i="115"/>
  <c r="G48" i="145"/>
  <c r="G47" i="145"/>
  <c r="G46" i="145"/>
  <c r="H13" i="146" l="1"/>
  <c r="I13" i="146" s="1"/>
  <c r="H13" i="147"/>
  <c r="I13" i="147" s="1"/>
  <c r="G13" i="153"/>
  <c r="H13" i="153" s="1"/>
  <c r="I13" i="153" s="1"/>
  <c r="G13" i="149"/>
  <c r="I13" i="82"/>
  <c r="J32" i="82"/>
  <c r="G13" i="145" l="1"/>
  <c r="H13" i="145" s="1"/>
  <c r="H13" i="149"/>
  <c r="I13" i="149" s="1"/>
  <c r="I13" i="145" s="1"/>
  <c r="G41" i="147"/>
  <c r="G40" i="147"/>
  <c r="F14" i="117"/>
  <c r="F13" i="117"/>
  <c r="E10" i="117"/>
  <c r="I23" i="159"/>
  <c r="I22" i="159"/>
  <c r="I20" i="159"/>
  <c r="I19" i="159"/>
  <c r="H19" i="129" l="1"/>
  <c r="I19" i="129"/>
  <c r="F19" i="129"/>
  <c r="D19" i="129"/>
  <c r="E19" i="129"/>
  <c r="E10" i="129" l="1"/>
  <c r="E11" i="129"/>
  <c r="E12" i="129"/>
  <c r="E13" i="129"/>
  <c r="E14" i="129"/>
  <c r="E15" i="129"/>
  <c r="E16" i="129"/>
  <c r="E17" i="129"/>
  <c r="E18" i="129"/>
  <c r="H9" i="129"/>
  <c r="E9" i="129"/>
  <c r="L27" i="82"/>
  <c r="L26" i="82"/>
  <c r="L25" i="82"/>
  <c r="L24" i="82"/>
  <c r="L23" i="82"/>
  <c r="L22" i="82"/>
  <c r="L17" i="82"/>
  <c r="L16" i="82"/>
  <c r="L15" i="82"/>
  <c r="L14" i="82"/>
  <c r="L13" i="82"/>
  <c r="C13" i="54" l="1"/>
  <c r="C2" i="153"/>
  <c r="C2" i="160" l="1"/>
  <c r="B27" i="66" s="1"/>
  <c r="B15" i="125" s="1"/>
  <c r="B25" i="66"/>
  <c r="B14" i="125" s="1"/>
  <c r="G24" i="160"/>
  <c r="G41" i="153"/>
  <c r="G40" i="153"/>
  <c r="G35" i="153"/>
  <c r="G36" i="153"/>
  <c r="G37" i="153"/>
  <c r="G34" i="153"/>
  <c r="G30" i="153"/>
  <c r="G31" i="153"/>
  <c r="G29" i="153"/>
  <c r="G24" i="153"/>
  <c r="D24" i="145"/>
  <c r="C24" i="145"/>
  <c r="B24" i="145"/>
  <c r="D23" i="145"/>
  <c r="C23" i="145"/>
  <c r="B23" i="145"/>
  <c r="D22" i="145"/>
  <c r="C22" i="145"/>
  <c r="B22" i="145"/>
  <c r="D21" i="145"/>
  <c r="C21" i="145"/>
  <c r="B21" i="145"/>
  <c r="D20" i="145"/>
  <c r="C20" i="145"/>
  <c r="B20" i="145"/>
  <c r="D19" i="145"/>
  <c r="C19" i="145"/>
  <c r="B19" i="145"/>
  <c r="D24" i="147"/>
  <c r="C24" i="147"/>
  <c r="B24" i="147"/>
  <c r="D23" i="147"/>
  <c r="C23" i="147"/>
  <c r="B23" i="147"/>
  <c r="D22" i="147"/>
  <c r="C22" i="147"/>
  <c r="B22" i="147"/>
  <c r="D21" i="147"/>
  <c r="C21" i="147"/>
  <c r="B21" i="147"/>
  <c r="D20" i="147"/>
  <c r="C20" i="147"/>
  <c r="B20" i="147"/>
  <c r="D19" i="147"/>
  <c r="C19" i="147"/>
  <c r="B19" i="147"/>
  <c r="D24" i="149"/>
  <c r="C24" i="149"/>
  <c r="B24" i="149"/>
  <c r="D23" i="149"/>
  <c r="C23" i="149"/>
  <c r="B23" i="149"/>
  <c r="D22" i="149"/>
  <c r="C22" i="149"/>
  <c r="B22" i="149"/>
  <c r="D21" i="149"/>
  <c r="C21" i="149"/>
  <c r="B21" i="149"/>
  <c r="D20" i="149"/>
  <c r="C20" i="149"/>
  <c r="B20" i="149"/>
  <c r="D19" i="149"/>
  <c r="C19" i="149"/>
  <c r="B19" i="149"/>
  <c r="D24" i="150"/>
  <c r="C24" i="150"/>
  <c r="B24" i="150"/>
  <c r="D23" i="150"/>
  <c r="C23" i="150"/>
  <c r="B23" i="150"/>
  <c r="D22" i="150"/>
  <c r="C22" i="150"/>
  <c r="B22" i="150"/>
  <c r="D21" i="150"/>
  <c r="C21" i="150"/>
  <c r="B21" i="150"/>
  <c r="D20" i="150"/>
  <c r="C20" i="150"/>
  <c r="B20" i="150"/>
  <c r="D19" i="150"/>
  <c r="C19" i="150"/>
  <c r="B19" i="150"/>
  <c r="D24" i="151"/>
  <c r="C24" i="151"/>
  <c r="B24" i="151"/>
  <c r="D23" i="151"/>
  <c r="C23" i="151"/>
  <c r="B23" i="151"/>
  <c r="D22" i="151"/>
  <c r="C22" i="151"/>
  <c r="B22" i="151"/>
  <c r="D21" i="151"/>
  <c r="C21" i="151"/>
  <c r="B21" i="151"/>
  <c r="D20" i="151"/>
  <c r="C20" i="151"/>
  <c r="B20" i="151"/>
  <c r="D19" i="151"/>
  <c r="C19" i="151"/>
  <c r="B19" i="151"/>
  <c r="D24" i="153"/>
  <c r="C24" i="153"/>
  <c r="B24" i="153"/>
  <c r="D23" i="153"/>
  <c r="C23" i="153"/>
  <c r="B23" i="153"/>
  <c r="D22" i="153"/>
  <c r="C22" i="153"/>
  <c r="B22" i="153"/>
  <c r="D21" i="153"/>
  <c r="C21" i="153"/>
  <c r="B21" i="153"/>
  <c r="D20" i="153"/>
  <c r="C20" i="153"/>
  <c r="B20" i="153"/>
  <c r="D19" i="153"/>
  <c r="C19" i="153"/>
  <c r="B19" i="153"/>
  <c r="D24" i="160"/>
  <c r="C24" i="160"/>
  <c r="B24" i="160"/>
  <c r="D23" i="160"/>
  <c r="C23" i="160"/>
  <c r="B23" i="160"/>
  <c r="D22" i="160"/>
  <c r="C22" i="160"/>
  <c r="B22" i="160"/>
  <c r="D21" i="160"/>
  <c r="C21" i="160"/>
  <c r="B21" i="160"/>
  <c r="D20" i="160"/>
  <c r="C20" i="160"/>
  <c r="B20" i="160"/>
  <c r="D19" i="160"/>
  <c r="C19" i="160"/>
  <c r="B19" i="160"/>
  <c r="D24" i="152"/>
  <c r="C24" i="152"/>
  <c r="B24" i="152"/>
  <c r="D23" i="152"/>
  <c r="C23" i="152"/>
  <c r="B23" i="152"/>
  <c r="D22" i="152"/>
  <c r="C22" i="152"/>
  <c r="B22" i="152"/>
  <c r="D21" i="152"/>
  <c r="C21" i="152"/>
  <c r="B21" i="152"/>
  <c r="D20" i="152"/>
  <c r="C20" i="152"/>
  <c r="B20" i="152"/>
  <c r="D19" i="152"/>
  <c r="C19" i="152"/>
  <c r="B19" i="152"/>
  <c r="D24" i="146"/>
  <c r="C24" i="146"/>
  <c r="B24" i="146"/>
  <c r="D23" i="146"/>
  <c r="C23" i="146"/>
  <c r="B23" i="146"/>
  <c r="D22" i="146"/>
  <c r="C22" i="146"/>
  <c r="B22" i="146"/>
  <c r="D21" i="146"/>
  <c r="C21" i="146"/>
  <c r="B21" i="146"/>
  <c r="D20" i="146"/>
  <c r="C20" i="146"/>
  <c r="B20" i="146"/>
  <c r="D19" i="146"/>
  <c r="C19" i="146"/>
  <c r="B19" i="146"/>
  <c r="B20" i="138"/>
  <c r="C20" i="138"/>
  <c r="D20" i="138"/>
  <c r="B21" i="138"/>
  <c r="C21" i="138"/>
  <c r="D21" i="138"/>
  <c r="B22" i="138"/>
  <c r="C22" i="138"/>
  <c r="D22" i="138"/>
  <c r="B23" i="138"/>
  <c r="C23" i="138"/>
  <c r="D23" i="138"/>
  <c r="B24" i="138"/>
  <c r="C24" i="138"/>
  <c r="D24" i="138"/>
  <c r="D19" i="138"/>
  <c r="C19" i="138"/>
  <c r="B19" i="138"/>
  <c r="E48" i="160"/>
  <c r="H48" i="160" s="1"/>
  <c r="I48" i="160" s="1"/>
  <c r="D48" i="160"/>
  <c r="C48" i="160"/>
  <c r="B48" i="160"/>
  <c r="E47" i="160"/>
  <c r="H47" i="160" s="1"/>
  <c r="I47" i="160" s="1"/>
  <c r="D47" i="160"/>
  <c r="C47" i="160"/>
  <c r="D46" i="160"/>
  <c r="C46" i="160"/>
  <c r="G41" i="160"/>
  <c r="F41" i="160"/>
  <c r="D41" i="160"/>
  <c r="C41" i="160"/>
  <c r="B41" i="160"/>
  <c r="G40" i="160"/>
  <c r="F40" i="160"/>
  <c r="D40" i="160"/>
  <c r="C40" i="160"/>
  <c r="B40" i="160"/>
  <c r="G37" i="160"/>
  <c r="F37" i="160"/>
  <c r="D37" i="160"/>
  <c r="C37" i="160"/>
  <c r="B37" i="160"/>
  <c r="G36" i="160"/>
  <c r="F36" i="160"/>
  <c r="D36" i="160"/>
  <c r="C36" i="160"/>
  <c r="B36" i="160"/>
  <c r="G35" i="160"/>
  <c r="F35" i="160"/>
  <c r="D35" i="160"/>
  <c r="C35" i="160"/>
  <c r="B35" i="160"/>
  <c r="G34" i="160"/>
  <c r="F34" i="160"/>
  <c r="D34" i="160"/>
  <c r="C34" i="160"/>
  <c r="B34" i="160"/>
  <c r="G31" i="160"/>
  <c r="F31" i="160"/>
  <c r="D31" i="160"/>
  <c r="C31" i="160"/>
  <c r="B31" i="160"/>
  <c r="G30" i="160"/>
  <c r="F30" i="160"/>
  <c r="D30" i="160"/>
  <c r="C30" i="160"/>
  <c r="B30" i="160"/>
  <c r="G29" i="160"/>
  <c r="F29" i="160"/>
  <c r="D29" i="160"/>
  <c r="C29" i="160"/>
  <c r="B29" i="160"/>
  <c r="D12" i="160"/>
  <c r="C12" i="160"/>
  <c r="B12" i="160"/>
  <c r="D11" i="160"/>
  <c r="C11" i="160"/>
  <c r="B11" i="160"/>
  <c r="D10" i="160"/>
  <c r="C10" i="160"/>
  <c r="B10" i="160"/>
  <c r="C3" i="160"/>
  <c r="B35" i="146"/>
  <c r="C35" i="146"/>
  <c r="D35" i="146"/>
  <c r="F35" i="146"/>
  <c r="B36" i="146"/>
  <c r="C36" i="146"/>
  <c r="D36" i="146"/>
  <c r="F36" i="146"/>
  <c r="B37" i="146"/>
  <c r="C37" i="146"/>
  <c r="D37" i="146"/>
  <c r="F37" i="146"/>
  <c r="B35" i="149"/>
  <c r="C35" i="149"/>
  <c r="D35" i="149"/>
  <c r="F35" i="149"/>
  <c r="B36" i="149"/>
  <c r="C36" i="149"/>
  <c r="D36" i="149"/>
  <c r="F36" i="149"/>
  <c r="B37" i="149"/>
  <c r="C37" i="149"/>
  <c r="D37" i="149"/>
  <c r="F37" i="149"/>
  <c r="B35" i="150"/>
  <c r="C35" i="150"/>
  <c r="D35" i="150"/>
  <c r="F35" i="150"/>
  <c r="B36" i="150"/>
  <c r="C36" i="150"/>
  <c r="D36" i="150"/>
  <c r="F36" i="150"/>
  <c r="B37" i="150"/>
  <c r="C37" i="150"/>
  <c r="D37" i="150"/>
  <c r="F37" i="150"/>
  <c r="B35" i="151"/>
  <c r="C35" i="151"/>
  <c r="D35" i="151"/>
  <c r="F35" i="151"/>
  <c r="B36" i="151"/>
  <c r="C36" i="151"/>
  <c r="D36" i="151"/>
  <c r="F36" i="151"/>
  <c r="B37" i="151"/>
  <c r="C37" i="151"/>
  <c r="D37" i="151"/>
  <c r="F37" i="151"/>
  <c r="B35" i="153"/>
  <c r="C35" i="153"/>
  <c r="D35" i="153"/>
  <c r="F35" i="153"/>
  <c r="B36" i="153"/>
  <c r="C36" i="153"/>
  <c r="D36" i="153"/>
  <c r="F36" i="153"/>
  <c r="B37" i="153"/>
  <c r="C37" i="153"/>
  <c r="D37" i="153"/>
  <c r="F37" i="153"/>
  <c r="B35" i="152"/>
  <c r="C35" i="152"/>
  <c r="D35" i="152"/>
  <c r="F35" i="152"/>
  <c r="B36" i="152"/>
  <c r="C36" i="152"/>
  <c r="D36" i="152"/>
  <c r="F36" i="152"/>
  <c r="B37" i="152"/>
  <c r="C37" i="152"/>
  <c r="D37" i="152"/>
  <c r="F37" i="152"/>
  <c r="B35" i="145"/>
  <c r="C35" i="145"/>
  <c r="D35" i="145"/>
  <c r="F35" i="145"/>
  <c r="B36" i="145"/>
  <c r="C36" i="145"/>
  <c r="D36" i="145"/>
  <c r="F36" i="145"/>
  <c r="B37" i="145"/>
  <c r="C37" i="145"/>
  <c r="D37" i="145"/>
  <c r="F37" i="145"/>
  <c r="B35" i="138"/>
  <c r="C35" i="138"/>
  <c r="D35" i="138"/>
  <c r="F35" i="138"/>
  <c r="B36" i="138"/>
  <c r="C36" i="138"/>
  <c r="D36" i="138"/>
  <c r="F36" i="138"/>
  <c r="B37" i="138"/>
  <c r="C37" i="138"/>
  <c r="D37" i="138"/>
  <c r="F37" i="138"/>
  <c r="B35" i="147"/>
  <c r="C35" i="147"/>
  <c r="D35" i="147"/>
  <c r="F35" i="147"/>
  <c r="B36" i="147"/>
  <c r="C36" i="147"/>
  <c r="D36" i="147"/>
  <c r="F36" i="147"/>
  <c r="B37" i="147"/>
  <c r="C37" i="147"/>
  <c r="D37" i="147"/>
  <c r="F37" i="147"/>
  <c r="F34" i="147"/>
  <c r="D34" i="147"/>
  <c r="C34" i="147"/>
  <c r="B34" i="147"/>
  <c r="F34" i="149"/>
  <c r="D34" i="149"/>
  <c r="C34" i="149"/>
  <c r="B34" i="149"/>
  <c r="F34" i="150"/>
  <c r="D34" i="150"/>
  <c r="C34" i="150"/>
  <c r="B34" i="150"/>
  <c r="F34" i="151"/>
  <c r="D34" i="151"/>
  <c r="C34" i="151"/>
  <c r="B34" i="151"/>
  <c r="F34" i="153"/>
  <c r="D34" i="153"/>
  <c r="C34" i="153"/>
  <c r="B34" i="153"/>
  <c r="F34" i="152"/>
  <c r="D34" i="152"/>
  <c r="C34" i="152"/>
  <c r="B34" i="152"/>
  <c r="F34" i="145"/>
  <c r="D34" i="145"/>
  <c r="C34" i="145"/>
  <c r="B34" i="145"/>
  <c r="F34" i="138"/>
  <c r="D34" i="138"/>
  <c r="C34" i="138"/>
  <c r="B34" i="138"/>
  <c r="F34" i="146"/>
  <c r="D34" i="146"/>
  <c r="C34" i="146"/>
  <c r="B34" i="146"/>
  <c r="B30" i="147"/>
  <c r="C30" i="147"/>
  <c r="D30" i="147"/>
  <c r="F30" i="147"/>
  <c r="B31" i="147"/>
  <c r="C31" i="147"/>
  <c r="D31" i="147"/>
  <c r="F31" i="147"/>
  <c r="B30" i="149"/>
  <c r="C30" i="149"/>
  <c r="D30" i="149"/>
  <c r="F30" i="149"/>
  <c r="B31" i="149"/>
  <c r="C31" i="149"/>
  <c r="D31" i="149"/>
  <c r="F31" i="149"/>
  <c r="B30" i="150"/>
  <c r="C30" i="150"/>
  <c r="D30" i="150"/>
  <c r="F30" i="150"/>
  <c r="B31" i="150"/>
  <c r="C31" i="150"/>
  <c r="D31" i="150"/>
  <c r="F31" i="150"/>
  <c r="B30" i="151"/>
  <c r="C30" i="151"/>
  <c r="D30" i="151"/>
  <c r="F30" i="151"/>
  <c r="B31" i="151"/>
  <c r="C31" i="151"/>
  <c r="D31" i="151"/>
  <c r="F31" i="151"/>
  <c r="B30" i="153"/>
  <c r="C30" i="153"/>
  <c r="D30" i="153"/>
  <c r="F30" i="153"/>
  <c r="B31" i="153"/>
  <c r="C31" i="153"/>
  <c r="D31" i="153"/>
  <c r="F31" i="153"/>
  <c r="B30" i="152"/>
  <c r="C30" i="152"/>
  <c r="D30" i="152"/>
  <c r="F30" i="152"/>
  <c r="B31" i="152"/>
  <c r="C31" i="152"/>
  <c r="D31" i="152"/>
  <c r="F31" i="152"/>
  <c r="B30" i="145"/>
  <c r="C30" i="145"/>
  <c r="D30" i="145"/>
  <c r="F30" i="145"/>
  <c r="B31" i="145"/>
  <c r="C31" i="145"/>
  <c r="D31" i="145"/>
  <c r="F31" i="145"/>
  <c r="B30" i="138"/>
  <c r="C30" i="138"/>
  <c r="D30" i="138"/>
  <c r="F30" i="138"/>
  <c r="B31" i="138"/>
  <c r="C31" i="138"/>
  <c r="D31" i="138"/>
  <c r="F31" i="138"/>
  <c r="B30" i="146"/>
  <c r="C30" i="146"/>
  <c r="D30" i="146"/>
  <c r="F30" i="146"/>
  <c r="B31" i="146"/>
  <c r="C31" i="146"/>
  <c r="D31" i="146"/>
  <c r="F31" i="146"/>
  <c r="F29" i="146"/>
  <c r="D29" i="146"/>
  <c r="C29" i="146"/>
  <c r="B29" i="146"/>
  <c r="F29" i="147"/>
  <c r="D29" i="147"/>
  <c r="C29" i="147"/>
  <c r="B29" i="147"/>
  <c r="F29" i="149"/>
  <c r="D29" i="149"/>
  <c r="C29" i="149"/>
  <c r="B29" i="149"/>
  <c r="F29" i="150"/>
  <c r="D29" i="150"/>
  <c r="C29" i="150"/>
  <c r="B29" i="150"/>
  <c r="F29" i="151"/>
  <c r="D29" i="151"/>
  <c r="C29" i="151"/>
  <c r="B29" i="151"/>
  <c r="F29" i="153"/>
  <c r="D29" i="153"/>
  <c r="C29" i="153"/>
  <c r="B29" i="153"/>
  <c r="F29" i="152"/>
  <c r="D29" i="152"/>
  <c r="C29" i="152"/>
  <c r="B29" i="152"/>
  <c r="F29" i="145"/>
  <c r="D29" i="145"/>
  <c r="C29" i="145"/>
  <c r="B29" i="145"/>
  <c r="F29" i="138"/>
  <c r="D29" i="138"/>
  <c r="C29" i="138"/>
  <c r="B29" i="138"/>
  <c r="B41" i="138"/>
  <c r="C41" i="138"/>
  <c r="D41" i="138"/>
  <c r="F41" i="138"/>
  <c r="B41" i="147"/>
  <c r="C41" i="147"/>
  <c r="D41" i="147"/>
  <c r="F41" i="147"/>
  <c r="B41" i="149"/>
  <c r="C41" i="149"/>
  <c r="D41" i="149"/>
  <c r="F41" i="149"/>
  <c r="B41" i="150"/>
  <c r="C41" i="150"/>
  <c r="D41" i="150"/>
  <c r="F41" i="150"/>
  <c r="B41" i="151"/>
  <c r="C41" i="151"/>
  <c r="D41" i="151"/>
  <c r="F41" i="151"/>
  <c r="B41" i="153"/>
  <c r="C41" i="153"/>
  <c r="D41" i="153"/>
  <c r="F41" i="153"/>
  <c r="B41" i="152"/>
  <c r="C41" i="152"/>
  <c r="D41" i="152"/>
  <c r="F41" i="152"/>
  <c r="B41" i="145"/>
  <c r="C41" i="145"/>
  <c r="D41" i="145"/>
  <c r="F41" i="145"/>
  <c r="B41" i="146"/>
  <c r="C41" i="146"/>
  <c r="D41" i="146"/>
  <c r="F41" i="146"/>
  <c r="F40" i="138"/>
  <c r="F40" i="147"/>
  <c r="F40" i="149"/>
  <c r="F40" i="150"/>
  <c r="F40" i="151"/>
  <c r="F40" i="153"/>
  <c r="F40" i="152"/>
  <c r="F40" i="145"/>
  <c r="F40" i="146"/>
  <c r="G40" i="152"/>
  <c r="G40" i="151"/>
  <c r="G40" i="150"/>
  <c r="G40" i="149"/>
  <c r="D40" i="138"/>
  <c r="D40" i="147"/>
  <c r="D40" i="149"/>
  <c r="D40" i="150"/>
  <c r="D40" i="151"/>
  <c r="D40" i="153"/>
  <c r="D40" i="152"/>
  <c r="D40" i="145"/>
  <c r="D40" i="146"/>
  <c r="C40" i="138"/>
  <c r="C40" i="147"/>
  <c r="C40" i="149"/>
  <c r="C40" i="150"/>
  <c r="C40" i="151"/>
  <c r="C40" i="153"/>
  <c r="C40" i="152"/>
  <c r="C40" i="145"/>
  <c r="C40" i="146"/>
  <c r="B40" i="138"/>
  <c r="B40" i="147"/>
  <c r="B40" i="149"/>
  <c r="B40" i="150"/>
  <c r="B40" i="151"/>
  <c r="B40" i="153"/>
  <c r="B40" i="152"/>
  <c r="B40" i="145"/>
  <c r="B40" i="146"/>
  <c r="E48" i="146"/>
  <c r="E48" i="147"/>
  <c r="E48" i="149"/>
  <c r="E48" i="150"/>
  <c r="H48" i="150" s="1"/>
  <c r="I48" i="150" s="1"/>
  <c r="E48" i="151"/>
  <c r="H48" i="151" s="1"/>
  <c r="I48" i="151" s="1"/>
  <c r="E48" i="153"/>
  <c r="H48" i="153" s="1"/>
  <c r="I48" i="153" s="1"/>
  <c r="E48" i="152"/>
  <c r="H48" i="152" s="1"/>
  <c r="I48" i="152" s="1"/>
  <c r="E48" i="145"/>
  <c r="H48" i="145" s="1"/>
  <c r="E48" i="138"/>
  <c r="E47" i="146"/>
  <c r="E47" i="147"/>
  <c r="E47" i="149"/>
  <c r="E47" i="150"/>
  <c r="H47" i="150" s="1"/>
  <c r="I47" i="150" s="1"/>
  <c r="E47" i="151"/>
  <c r="H47" i="151" s="1"/>
  <c r="I47" i="151" s="1"/>
  <c r="E47" i="153"/>
  <c r="H47" i="153" s="1"/>
  <c r="I47" i="153" s="1"/>
  <c r="E47" i="152"/>
  <c r="H47" i="152" s="1"/>
  <c r="I47" i="152" s="1"/>
  <c r="E47" i="145"/>
  <c r="H47" i="145" s="1"/>
  <c r="E47" i="138"/>
  <c r="G40" i="145" l="1"/>
  <c r="F15" i="82"/>
  <c r="F14" i="82"/>
  <c r="F13" i="82"/>
  <c r="C4" i="82"/>
  <c r="K22" i="159"/>
  <c r="I26" i="82" s="1"/>
  <c r="F21" i="159"/>
  <c r="E21" i="159"/>
  <c r="D21" i="159"/>
  <c r="C21" i="159"/>
  <c r="K19" i="159"/>
  <c r="C20" i="159"/>
  <c r="D20" i="159" s="1"/>
  <c r="E20" i="159" s="1"/>
  <c r="F20" i="159" s="1"/>
  <c r="K1" i="159"/>
  <c r="J11" i="116"/>
  <c r="J12" i="116"/>
  <c r="J14" i="116"/>
  <c r="J15" i="116"/>
  <c r="J16" i="116"/>
  <c r="J17" i="116"/>
  <c r="J18" i="116"/>
  <c r="J19" i="116"/>
  <c r="J20" i="116"/>
  <c r="J10" i="116"/>
  <c r="I11" i="116"/>
  <c r="I12" i="116"/>
  <c r="I14" i="116"/>
  <c r="I15" i="116"/>
  <c r="I16" i="116"/>
  <c r="I17" i="116"/>
  <c r="I18" i="116"/>
  <c r="I19" i="116"/>
  <c r="G11" i="116"/>
  <c r="G12" i="116"/>
  <c r="G14" i="116"/>
  <c r="G15" i="116"/>
  <c r="G16" i="116"/>
  <c r="G17" i="116"/>
  <c r="G18" i="116"/>
  <c r="G19" i="116"/>
  <c r="F12" i="116"/>
  <c r="F15" i="116"/>
  <c r="F16" i="116"/>
  <c r="F17" i="116"/>
  <c r="F18" i="116"/>
  <c r="F19" i="116"/>
  <c r="F11" i="116"/>
  <c r="K10" i="116"/>
  <c r="G12" i="153" l="1"/>
  <c r="G12" i="160"/>
  <c r="G23" i="153"/>
  <c r="G23" i="160"/>
  <c r="G10" i="153"/>
  <c r="G10" i="160"/>
  <c r="G21" i="160"/>
  <c r="G21" i="153"/>
  <c r="G11" i="153"/>
  <c r="G11" i="160"/>
  <c r="H11" i="160" s="1"/>
  <c r="G22" i="160"/>
  <c r="G22" i="153"/>
  <c r="G20" i="153"/>
  <c r="G20" i="160"/>
  <c r="G19" i="153"/>
  <c r="G19" i="160"/>
  <c r="I16" i="82"/>
  <c r="J16" i="82" s="1"/>
  <c r="I24" i="82"/>
  <c r="I25" i="82"/>
  <c r="I17" i="82"/>
  <c r="J17" i="82" s="1"/>
  <c r="I15" i="82"/>
  <c r="J15" i="82" s="1"/>
  <c r="J13" i="82"/>
  <c r="E10" i="149" s="1"/>
  <c r="I22" i="82"/>
  <c r="M13" i="82"/>
  <c r="M25" i="82"/>
  <c r="M14" i="82"/>
  <c r="M26" i="82"/>
  <c r="M15" i="82"/>
  <c r="M27" i="82"/>
  <c r="M16" i="82"/>
  <c r="M17" i="82"/>
  <c r="M24" i="82"/>
  <c r="M22" i="82"/>
  <c r="M23" i="82"/>
  <c r="I14" i="82"/>
  <c r="J14" i="82" s="1"/>
  <c r="I23" i="82"/>
  <c r="I27" i="82"/>
  <c r="O39" i="82"/>
  <c r="O44" i="82"/>
  <c r="O40" i="82"/>
  <c r="O43" i="82"/>
  <c r="O32" i="82"/>
  <c r="O33" i="82"/>
  <c r="O34" i="82"/>
  <c r="O35" i="82"/>
  <c r="O38" i="82"/>
  <c r="J35" i="82"/>
  <c r="J38" i="82"/>
  <c r="J34" i="82"/>
  <c r="J39" i="82"/>
  <c r="J40" i="82"/>
  <c r="J43" i="82"/>
  <c r="E34" i="146"/>
  <c r="J44" i="82"/>
  <c r="J33" i="82"/>
  <c r="K20" i="129"/>
  <c r="G10" i="129" s="1"/>
  <c r="G15" i="129"/>
  <c r="G16" i="129"/>
  <c r="G14" i="129"/>
  <c r="G11" i="129"/>
  <c r="E11" i="150"/>
  <c r="E11" i="149"/>
  <c r="E11" i="152"/>
  <c r="E11" i="147"/>
  <c r="E11" i="146"/>
  <c r="E11" i="151"/>
  <c r="E11" i="138"/>
  <c r="E11" i="153"/>
  <c r="E11" i="145"/>
  <c r="E11" i="160"/>
  <c r="E40" i="152"/>
  <c r="H40" i="152" s="1"/>
  <c r="E40" i="146"/>
  <c r="E40" i="160"/>
  <c r="H40" i="160" s="1"/>
  <c r="E40" i="145"/>
  <c r="H40" i="145" s="1"/>
  <c r="E40" i="138"/>
  <c r="E40" i="147"/>
  <c r="H40" i="147" s="1"/>
  <c r="E40" i="153"/>
  <c r="H40" i="153" s="1"/>
  <c r="E40" i="149"/>
  <c r="E40" i="150"/>
  <c r="H40" i="150" s="1"/>
  <c r="E40" i="151"/>
  <c r="H40" i="151" s="1"/>
  <c r="E31" i="138"/>
  <c r="E31" i="147"/>
  <c r="E31" i="153"/>
  <c r="H31" i="153" s="1"/>
  <c r="E31" i="146"/>
  <c r="E31" i="152"/>
  <c r="E31" i="149"/>
  <c r="E31" i="160"/>
  <c r="H31" i="160" s="1"/>
  <c r="E31" i="151"/>
  <c r="E31" i="150"/>
  <c r="E31" i="145"/>
  <c r="E34" i="147"/>
  <c r="E41" i="147"/>
  <c r="E41" i="152"/>
  <c r="E41" i="146"/>
  <c r="E41" i="160"/>
  <c r="H41" i="160" s="1"/>
  <c r="E41" i="150"/>
  <c r="E41" i="138"/>
  <c r="E41" i="153"/>
  <c r="H41" i="153" s="1"/>
  <c r="E41" i="151"/>
  <c r="E41" i="149"/>
  <c r="E41" i="145"/>
  <c r="E12" i="160"/>
  <c r="E12" i="146"/>
  <c r="E12" i="149"/>
  <c r="E12" i="151"/>
  <c r="E12" i="152"/>
  <c r="E12" i="138"/>
  <c r="E12" i="147"/>
  <c r="E12" i="150"/>
  <c r="E12" i="153"/>
  <c r="E12" i="145"/>
  <c r="E35" i="138"/>
  <c r="E35" i="145"/>
  <c r="E35" i="152"/>
  <c r="E35" i="153"/>
  <c r="H35" i="153" s="1"/>
  <c r="E35" i="147"/>
  <c r="E35" i="151"/>
  <c r="E35" i="160"/>
  <c r="H35" i="160" s="1"/>
  <c r="E35" i="150"/>
  <c r="E35" i="149"/>
  <c r="E35" i="146"/>
  <c r="E30" i="153"/>
  <c r="H30" i="153" s="1"/>
  <c r="I30" i="153" s="1"/>
  <c r="E30" i="160"/>
  <c r="H30" i="160" s="1"/>
  <c r="I30" i="160" s="1"/>
  <c r="E30" i="151"/>
  <c r="E30" i="138"/>
  <c r="E30" i="147"/>
  <c r="E30" i="146"/>
  <c r="E30" i="150"/>
  <c r="E30" i="149"/>
  <c r="E30" i="152"/>
  <c r="E30" i="145"/>
  <c r="E36" i="160"/>
  <c r="H36" i="160" s="1"/>
  <c r="E36" i="153"/>
  <c r="H36" i="153" s="1"/>
  <c r="E36" i="150"/>
  <c r="E36" i="149"/>
  <c r="E36" i="145"/>
  <c r="E36" i="152"/>
  <c r="E36" i="151"/>
  <c r="E36" i="146"/>
  <c r="E36" i="147"/>
  <c r="E36" i="138"/>
  <c r="E37" i="150"/>
  <c r="E37" i="160"/>
  <c r="H37" i="160" s="1"/>
  <c r="E37" i="149"/>
  <c r="E37" i="145"/>
  <c r="E37" i="146"/>
  <c r="E37" i="147"/>
  <c r="E37" i="138"/>
  <c r="E37" i="152"/>
  <c r="E37" i="153"/>
  <c r="H37" i="153" s="1"/>
  <c r="E37" i="151"/>
  <c r="E29" i="160"/>
  <c r="H29" i="160" s="1"/>
  <c r="E29" i="147"/>
  <c r="E29" i="146"/>
  <c r="E29" i="138"/>
  <c r="E29" i="152"/>
  <c r="E29" i="150"/>
  <c r="E29" i="145"/>
  <c r="E29" i="151"/>
  <c r="E29" i="153"/>
  <c r="H29" i="153" s="1"/>
  <c r="E29" i="149"/>
  <c r="D17" i="158"/>
  <c r="E17" i="158" s="1"/>
  <c r="F17" i="158" s="1"/>
  <c r="G17" i="158" s="1"/>
  <c r="H17" i="158" s="1"/>
  <c r="I17" i="158" s="1"/>
  <c r="J17" i="158" s="1"/>
  <c r="K17" i="158" s="1"/>
  <c r="L17" i="158" s="1"/>
  <c r="M17" i="158" s="1"/>
  <c r="N17" i="158" s="1"/>
  <c r="N4" i="158"/>
  <c r="B6" i="158"/>
  <c r="D16" i="158"/>
  <c r="N20" i="158"/>
  <c r="M20" i="158"/>
  <c r="L20" i="158"/>
  <c r="K20" i="158"/>
  <c r="J20" i="158"/>
  <c r="I20" i="158"/>
  <c r="H20" i="158"/>
  <c r="G20" i="158"/>
  <c r="F20" i="158"/>
  <c r="E20" i="158"/>
  <c r="D18" i="158"/>
  <c r="E18" i="158" s="1"/>
  <c r="F18" i="158" s="1"/>
  <c r="G18" i="158" s="1"/>
  <c r="H18" i="158" s="1"/>
  <c r="I18" i="158" s="1"/>
  <c r="J18" i="158" s="1"/>
  <c r="K18" i="158" s="1"/>
  <c r="L18" i="158" s="1"/>
  <c r="M18" i="158" s="1"/>
  <c r="N18" i="158" s="1"/>
  <c r="E16" i="158"/>
  <c r="F16" i="158" s="1"/>
  <c r="G16" i="158" s="1"/>
  <c r="H16" i="158" s="1"/>
  <c r="I16" i="158" s="1"/>
  <c r="J16" i="158" s="1"/>
  <c r="K16" i="158" s="1"/>
  <c r="L16" i="158" s="1"/>
  <c r="M16" i="158" s="1"/>
  <c r="N16" i="158" s="1"/>
  <c r="D15" i="158"/>
  <c r="E15" i="158" s="1"/>
  <c r="F15" i="158" s="1"/>
  <c r="G15" i="158" s="1"/>
  <c r="H15" i="158" s="1"/>
  <c r="I15" i="158" s="1"/>
  <c r="J15" i="158" s="1"/>
  <c r="K15" i="158" s="1"/>
  <c r="L15" i="158" s="1"/>
  <c r="M15" i="158" s="1"/>
  <c r="N15" i="158" s="1"/>
  <c r="D13" i="158"/>
  <c r="E13" i="158" s="1"/>
  <c r="F13" i="158" s="1"/>
  <c r="G13" i="158" s="1"/>
  <c r="H13" i="158" s="1"/>
  <c r="I13" i="158" s="1"/>
  <c r="J13" i="158" s="1"/>
  <c r="K13" i="158" s="1"/>
  <c r="L13" i="158" s="1"/>
  <c r="M13" i="158" s="1"/>
  <c r="N13" i="158" s="1"/>
  <c r="D12" i="158"/>
  <c r="E12" i="158" s="1"/>
  <c r="F12" i="158" s="1"/>
  <c r="G12" i="158" s="1"/>
  <c r="H12" i="158" s="1"/>
  <c r="I12" i="158" s="1"/>
  <c r="J12" i="158" s="1"/>
  <c r="K12" i="158" s="1"/>
  <c r="L12" i="158" s="1"/>
  <c r="M12" i="158" s="1"/>
  <c r="N12" i="158" s="1"/>
  <c r="D11" i="158"/>
  <c r="E11" i="158" s="1"/>
  <c r="F11" i="158" s="1"/>
  <c r="G11" i="158" s="1"/>
  <c r="H11" i="158" s="1"/>
  <c r="I11" i="158" s="1"/>
  <c r="J11" i="158" s="1"/>
  <c r="K11" i="158" s="1"/>
  <c r="L11" i="158" s="1"/>
  <c r="M11" i="158" s="1"/>
  <c r="N11" i="158" s="1"/>
  <c r="D10" i="158"/>
  <c r="E10" i="158" s="1"/>
  <c r="F10" i="158" s="1"/>
  <c r="G10" i="158" s="1"/>
  <c r="H10" i="158" s="1"/>
  <c r="I10" i="158" s="1"/>
  <c r="J10" i="158" s="1"/>
  <c r="K10" i="158" s="1"/>
  <c r="L10" i="158" s="1"/>
  <c r="M10" i="158" s="1"/>
  <c r="N10" i="158" s="1"/>
  <c r="B5" i="158"/>
  <c r="K20" i="116"/>
  <c r="K19" i="116"/>
  <c r="K18" i="116"/>
  <c r="K17" i="116"/>
  <c r="K16" i="116"/>
  <c r="K15" i="116"/>
  <c r="K14" i="116"/>
  <c r="K12" i="116"/>
  <c r="K11" i="116"/>
  <c r="H12" i="160" l="1"/>
  <c r="H10" i="160"/>
  <c r="H11" i="153"/>
  <c r="H12" i="153"/>
  <c r="E10" i="160"/>
  <c r="E10" i="152"/>
  <c r="E10" i="145"/>
  <c r="E10" i="153"/>
  <c r="H10" i="153" s="1"/>
  <c r="E10" i="146"/>
  <c r="E10" i="151"/>
  <c r="E10" i="150"/>
  <c r="E10" i="147"/>
  <c r="E10" i="138"/>
  <c r="E34" i="150"/>
  <c r="E34" i="149"/>
  <c r="E34" i="151"/>
  <c r="G17" i="129"/>
  <c r="E34" i="138"/>
  <c r="E34" i="145"/>
  <c r="G18" i="129"/>
  <c r="E34" i="152"/>
  <c r="E34" i="153"/>
  <c r="H34" i="153" s="1"/>
  <c r="J9" i="129"/>
  <c r="G9" i="129"/>
  <c r="E34" i="160"/>
  <c r="H34" i="160" s="1"/>
  <c r="G12" i="129"/>
  <c r="G13" i="129"/>
  <c r="C15" i="54"/>
  <c r="G19" i="129" l="1"/>
  <c r="K9" i="129"/>
  <c r="C20" i="54"/>
  <c r="E11" i="117" l="1"/>
  <c r="C24" i="54"/>
  <c r="C22" i="54" l="1"/>
  <c r="C25" i="54"/>
  <c r="E12" i="117"/>
  <c r="D12" i="157" l="1"/>
  <c r="D11" i="157"/>
  <c r="E11" i="157" s="1"/>
  <c r="D10" i="157"/>
  <c r="E10" i="157" s="1"/>
  <c r="G31" i="146" l="1"/>
  <c r="E10" i="110"/>
  <c r="E8" i="110"/>
  <c r="G20" i="152"/>
  <c r="G21" i="152"/>
  <c r="G22" i="152"/>
  <c r="G23" i="152"/>
  <c r="G24" i="152"/>
  <c r="G19" i="152"/>
  <c r="G20" i="138"/>
  <c r="G21" i="138"/>
  <c r="G22" i="138"/>
  <c r="G23" i="138"/>
  <c r="G24" i="138"/>
  <c r="G19" i="138"/>
  <c r="G30" i="146"/>
  <c r="G41" i="152"/>
  <c r="H41" i="152" s="1"/>
  <c r="G35" i="152"/>
  <c r="H35" i="152" s="1"/>
  <c r="G36" i="152"/>
  <c r="H36" i="152" s="1"/>
  <c r="G37" i="152"/>
  <c r="H37" i="152" s="1"/>
  <c r="G34" i="152"/>
  <c r="H34" i="152" s="1"/>
  <c r="G30" i="152"/>
  <c r="H30" i="152" s="1"/>
  <c r="I30" i="152" s="1"/>
  <c r="G31" i="152"/>
  <c r="H31" i="152" s="1"/>
  <c r="G29" i="152"/>
  <c r="H29" i="152" s="1"/>
  <c r="G11" i="152"/>
  <c r="H11" i="152" s="1"/>
  <c r="G12" i="152"/>
  <c r="H12" i="152" s="1"/>
  <c r="G10" i="152"/>
  <c r="H10" i="152" s="1"/>
  <c r="C2" i="152"/>
  <c r="B29" i="66" s="1"/>
  <c r="D48" i="153"/>
  <c r="C48" i="153"/>
  <c r="B48" i="153"/>
  <c r="D47" i="153"/>
  <c r="C47" i="153"/>
  <c r="D46" i="153"/>
  <c r="C46" i="153"/>
  <c r="D12" i="153"/>
  <c r="C12" i="153"/>
  <c r="B12" i="153"/>
  <c r="D11" i="153"/>
  <c r="C11" i="153"/>
  <c r="B11" i="153"/>
  <c r="D10" i="153"/>
  <c r="C10" i="153"/>
  <c r="B10" i="153"/>
  <c r="D48" i="152"/>
  <c r="C48" i="152"/>
  <c r="B48" i="152"/>
  <c r="D47" i="152"/>
  <c r="C47" i="152"/>
  <c r="D46" i="152"/>
  <c r="C46" i="152"/>
  <c r="D12" i="152"/>
  <c r="C12" i="152"/>
  <c r="B12" i="152"/>
  <c r="D11" i="152"/>
  <c r="C11" i="152"/>
  <c r="B11" i="152"/>
  <c r="D10" i="152"/>
  <c r="C10" i="152"/>
  <c r="B10" i="152"/>
  <c r="G41" i="151"/>
  <c r="H41" i="151" s="1"/>
  <c r="G34" i="151"/>
  <c r="H34" i="151" s="1"/>
  <c r="G30" i="151"/>
  <c r="H30" i="151" s="1"/>
  <c r="I30" i="151" s="1"/>
  <c r="G31" i="151"/>
  <c r="H31" i="151" s="1"/>
  <c r="G29" i="151"/>
  <c r="H29" i="151" s="1"/>
  <c r="G20" i="151"/>
  <c r="G21" i="151"/>
  <c r="G22" i="151"/>
  <c r="G23" i="151"/>
  <c r="G24" i="151"/>
  <c r="G19" i="151"/>
  <c r="G11" i="151"/>
  <c r="H11" i="151" s="1"/>
  <c r="G12" i="151"/>
  <c r="H12" i="151" s="1"/>
  <c r="G10" i="151"/>
  <c r="H10" i="151" s="1"/>
  <c r="C2" i="151"/>
  <c r="B23" i="66" s="1"/>
  <c r="D48" i="151"/>
  <c r="C48" i="151"/>
  <c r="B48" i="151"/>
  <c r="D47" i="151"/>
  <c r="C47" i="151"/>
  <c r="D46" i="151"/>
  <c r="C46" i="151"/>
  <c r="D12" i="151"/>
  <c r="C12" i="151"/>
  <c r="B12" i="151"/>
  <c r="D11" i="151"/>
  <c r="C11" i="151"/>
  <c r="B11" i="151"/>
  <c r="D10" i="151"/>
  <c r="C10" i="151"/>
  <c r="B10" i="151"/>
  <c r="G41" i="150"/>
  <c r="H41" i="150" s="1"/>
  <c r="G35" i="150"/>
  <c r="H35" i="150" s="1"/>
  <c r="G36" i="150"/>
  <c r="H36" i="150" s="1"/>
  <c r="G37" i="150"/>
  <c r="H37" i="150" s="1"/>
  <c r="G34" i="150"/>
  <c r="H34" i="150" s="1"/>
  <c r="G30" i="150"/>
  <c r="H30" i="150" s="1"/>
  <c r="I30" i="150" s="1"/>
  <c r="G31" i="150"/>
  <c r="H31" i="150" s="1"/>
  <c r="G29" i="150"/>
  <c r="H29" i="150" s="1"/>
  <c r="G20" i="150"/>
  <c r="G21" i="150"/>
  <c r="G22" i="150"/>
  <c r="G23" i="150"/>
  <c r="G24" i="150"/>
  <c r="G19" i="150"/>
  <c r="C2" i="150"/>
  <c r="B21" i="66" s="1"/>
  <c r="G11" i="150"/>
  <c r="H11" i="150" s="1"/>
  <c r="G12" i="150"/>
  <c r="H12" i="150" s="1"/>
  <c r="G10" i="150"/>
  <c r="H10" i="150" s="1"/>
  <c r="D48" i="150"/>
  <c r="C48" i="150"/>
  <c r="B48" i="150"/>
  <c r="D47" i="150"/>
  <c r="C47" i="150"/>
  <c r="D46" i="150"/>
  <c r="C46" i="150"/>
  <c r="D12" i="150"/>
  <c r="C12" i="150"/>
  <c r="B12" i="150"/>
  <c r="D11" i="150"/>
  <c r="C11" i="150"/>
  <c r="B11" i="150"/>
  <c r="D10" i="150"/>
  <c r="C10" i="150"/>
  <c r="B10" i="150"/>
  <c r="G41" i="149"/>
  <c r="G35" i="149"/>
  <c r="G36" i="149"/>
  <c r="G37" i="149"/>
  <c r="G34" i="149"/>
  <c r="G30" i="149"/>
  <c r="G31" i="149"/>
  <c r="G29" i="149"/>
  <c r="G20" i="149"/>
  <c r="G21" i="149"/>
  <c r="G22" i="149"/>
  <c r="G23" i="149"/>
  <c r="G24" i="149"/>
  <c r="G19" i="149"/>
  <c r="G11" i="149"/>
  <c r="G12" i="149"/>
  <c r="G10" i="149"/>
  <c r="C2" i="149"/>
  <c r="B19" i="66" s="1"/>
  <c r="D48" i="149"/>
  <c r="C48" i="149"/>
  <c r="B48" i="149"/>
  <c r="D47" i="149"/>
  <c r="C47" i="149"/>
  <c r="D46" i="149"/>
  <c r="C46" i="149"/>
  <c r="D12" i="149"/>
  <c r="C12" i="149"/>
  <c r="B12" i="149"/>
  <c r="D11" i="149"/>
  <c r="C11" i="149"/>
  <c r="B11" i="149"/>
  <c r="D10" i="149"/>
  <c r="C10" i="149"/>
  <c r="B10" i="149"/>
  <c r="G11" i="138"/>
  <c r="G12" i="138"/>
  <c r="G14" i="138"/>
  <c r="G14" i="145" s="1"/>
  <c r="H14" i="145" s="1"/>
  <c r="G10" i="138"/>
  <c r="G20" i="146"/>
  <c r="G21" i="146"/>
  <c r="G22" i="146"/>
  <c r="G23" i="146"/>
  <c r="G24" i="146"/>
  <c r="G20" i="147"/>
  <c r="G21" i="147"/>
  <c r="G22" i="147"/>
  <c r="G23" i="147"/>
  <c r="G24" i="147"/>
  <c r="G19" i="147"/>
  <c r="G11" i="147"/>
  <c r="G12" i="147"/>
  <c r="G10" i="147"/>
  <c r="G35" i="147"/>
  <c r="G36" i="147"/>
  <c r="G37" i="147"/>
  <c r="G34" i="147"/>
  <c r="G30" i="147"/>
  <c r="G31" i="147"/>
  <c r="G29" i="147"/>
  <c r="C2" i="147"/>
  <c r="B17" i="66" s="1"/>
  <c r="D48" i="147"/>
  <c r="C48" i="147"/>
  <c r="D47" i="147"/>
  <c r="C47" i="147"/>
  <c r="D46" i="147"/>
  <c r="C46" i="147"/>
  <c r="H31" i="147"/>
  <c r="D12" i="147"/>
  <c r="C12" i="147"/>
  <c r="B12" i="147"/>
  <c r="D11" i="147"/>
  <c r="C11" i="147"/>
  <c r="B11" i="147"/>
  <c r="D10" i="147"/>
  <c r="C10" i="147"/>
  <c r="B10" i="147"/>
  <c r="G19" i="146"/>
  <c r="G11" i="146"/>
  <c r="G12" i="146"/>
  <c r="G10" i="146"/>
  <c r="C2" i="146"/>
  <c r="B15" i="66" s="1"/>
  <c r="H48" i="146"/>
  <c r="I48" i="146" s="1"/>
  <c r="D48" i="146"/>
  <c r="C48" i="146"/>
  <c r="B48" i="146"/>
  <c r="D47" i="146"/>
  <c r="C47" i="146"/>
  <c r="D46" i="146"/>
  <c r="C46" i="146"/>
  <c r="G37" i="146"/>
  <c r="G36" i="146"/>
  <c r="G35" i="146"/>
  <c r="G34" i="146"/>
  <c r="D12" i="146"/>
  <c r="C12" i="146"/>
  <c r="B12" i="146"/>
  <c r="D11" i="146"/>
  <c r="C11" i="146"/>
  <c r="B11" i="146"/>
  <c r="D10" i="146"/>
  <c r="C10" i="146"/>
  <c r="B10" i="146"/>
  <c r="J21" i="117"/>
  <c r="J20" i="117"/>
  <c r="J19" i="117"/>
  <c r="G35" i="151"/>
  <c r="H35" i="151" s="1"/>
  <c r="G10" i="145" l="1"/>
  <c r="H10" i="145" s="1"/>
  <c r="H30" i="146"/>
  <c r="I30" i="146" s="1"/>
  <c r="G30" i="145"/>
  <c r="H30" i="145" s="1"/>
  <c r="G41" i="145"/>
  <c r="H41" i="145" s="1"/>
  <c r="G20" i="145"/>
  <c r="G31" i="145"/>
  <c r="H31" i="145" s="1"/>
  <c r="G19" i="145"/>
  <c r="G23" i="145"/>
  <c r="G24" i="145"/>
  <c r="G12" i="145"/>
  <c r="H12" i="145" s="1"/>
  <c r="G22" i="145"/>
  <c r="G11" i="145"/>
  <c r="H11" i="145" s="1"/>
  <c r="G21" i="145"/>
  <c r="H35" i="149"/>
  <c r="H40" i="146"/>
  <c r="L16" i="117"/>
  <c r="H37" i="147"/>
  <c r="H29" i="149"/>
  <c r="H37" i="149"/>
  <c r="H36" i="147"/>
  <c r="H34" i="149"/>
  <c r="H31" i="146"/>
  <c r="H40" i="149"/>
  <c r="H36" i="149"/>
  <c r="H48" i="147"/>
  <c r="I48" i="147" s="1"/>
  <c r="H30" i="147"/>
  <c r="I30" i="147" s="1"/>
  <c r="H35" i="147"/>
  <c r="H36" i="146"/>
  <c r="H41" i="146"/>
  <c r="H34" i="146"/>
  <c r="H30" i="149"/>
  <c r="I30" i="149" s="1"/>
  <c r="H35" i="146"/>
  <c r="H37" i="146"/>
  <c r="H34" i="147"/>
  <c r="H31" i="149"/>
  <c r="H29" i="147"/>
  <c r="H41" i="149"/>
  <c r="G29" i="146"/>
  <c r="G29" i="145" s="1"/>
  <c r="H29" i="145" s="1"/>
  <c r="M14" i="117"/>
  <c r="M13" i="117"/>
  <c r="B14" i="117"/>
  <c r="B13" i="117"/>
  <c r="M16" i="117"/>
  <c r="M17" i="117"/>
  <c r="M18" i="117"/>
  <c r="M15" i="117"/>
  <c r="M11" i="117"/>
  <c r="M12" i="117"/>
  <c r="M10" i="117"/>
  <c r="B16" i="117"/>
  <c r="B17" i="117"/>
  <c r="B18" i="117"/>
  <c r="B12" i="117"/>
  <c r="B11" i="117"/>
  <c r="B10" i="117"/>
  <c r="H30" i="138"/>
  <c r="I30" i="138" s="1"/>
  <c r="H31" i="138"/>
  <c r="H29" i="138"/>
  <c r="G37" i="138"/>
  <c r="G34" i="138"/>
  <c r="G34" i="145" s="1"/>
  <c r="H34" i="145" s="1"/>
  <c r="I30" i="145" l="1"/>
  <c r="H41" i="147"/>
  <c r="H29" i="146"/>
  <c r="H37" i="138"/>
  <c r="H34" i="138"/>
  <c r="C23" i="54"/>
  <c r="H17" i="129" l="1"/>
  <c r="H13" i="129"/>
  <c r="H11" i="129"/>
  <c r="H10" i="129"/>
  <c r="H18" i="129"/>
  <c r="H12" i="129"/>
  <c r="H15" i="129"/>
  <c r="H14" i="129"/>
  <c r="H16" i="129"/>
  <c r="H47" i="147"/>
  <c r="I47" i="147" s="1"/>
  <c r="H47" i="146"/>
  <c r="I47" i="146" s="1"/>
  <c r="G16" i="115"/>
  <c r="G24" i="115" l="1"/>
  <c r="G22" i="115"/>
  <c r="E12" i="157"/>
  <c r="F10" i="157" s="1"/>
  <c r="G23" i="115"/>
  <c r="G25" i="115"/>
  <c r="I12" i="160" l="1"/>
  <c r="I11" i="151"/>
  <c r="I12" i="152"/>
  <c r="I10" i="150"/>
  <c r="I10" i="151"/>
  <c r="I11" i="152"/>
  <c r="I10" i="153"/>
  <c r="I12" i="153"/>
  <c r="I11" i="160"/>
  <c r="I12" i="151"/>
  <c r="I11" i="153"/>
  <c r="I10" i="160"/>
  <c r="I12" i="150"/>
  <c r="I10" i="152"/>
  <c r="I11" i="150"/>
  <c r="I41" i="149"/>
  <c r="I40" i="147"/>
  <c r="I37" i="146"/>
  <c r="I37" i="138"/>
  <c r="I35" i="160"/>
  <c r="I31" i="151"/>
  <c r="I41" i="150"/>
  <c r="I36" i="146"/>
  <c r="I35" i="152"/>
  <c r="I29" i="150"/>
  <c r="I41" i="151"/>
  <c r="I40" i="150"/>
  <c r="I39" i="150" s="1"/>
  <c r="I37" i="149"/>
  <c r="I36" i="147"/>
  <c r="I35" i="146"/>
  <c r="I34" i="152"/>
  <c r="I31" i="160"/>
  <c r="I29" i="151"/>
  <c r="I41" i="153"/>
  <c r="I40" i="151"/>
  <c r="I39" i="151" s="1"/>
  <c r="I37" i="150"/>
  <c r="I36" i="149"/>
  <c r="I35" i="147"/>
  <c r="I33" i="147" s="1"/>
  <c r="I34" i="146"/>
  <c r="I34" i="138"/>
  <c r="I31" i="152"/>
  <c r="I29" i="153"/>
  <c r="I41" i="160"/>
  <c r="I40" i="153"/>
  <c r="I36" i="150"/>
  <c r="I35" i="149"/>
  <c r="I34" i="147"/>
  <c r="I31" i="146"/>
  <c r="I31" i="138"/>
  <c r="I29" i="160"/>
  <c r="I40" i="160"/>
  <c r="I31" i="147"/>
  <c r="I29" i="152"/>
  <c r="I41" i="152"/>
  <c r="I37" i="153"/>
  <c r="I35" i="150"/>
  <c r="I34" i="149"/>
  <c r="I41" i="146"/>
  <c r="I40" i="152"/>
  <c r="I37" i="160"/>
  <c r="I36" i="153"/>
  <c r="I35" i="151"/>
  <c r="I34" i="150"/>
  <c r="I31" i="149"/>
  <c r="I29" i="146"/>
  <c r="I29" i="138"/>
  <c r="I41" i="147"/>
  <c r="I40" i="146"/>
  <c r="I37" i="152"/>
  <c r="I36" i="160"/>
  <c r="I35" i="153"/>
  <c r="I34" i="151"/>
  <c r="I31" i="150"/>
  <c r="I29" i="147"/>
  <c r="I28" i="147" s="1"/>
  <c r="I36" i="152"/>
  <c r="I33" i="152" s="1"/>
  <c r="I34" i="153"/>
  <c r="I29" i="149"/>
  <c r="I40" i="149"/>
  <c r="I39" i="149" s="1"/>
  <c r="I37" i="147"/>
  <c r="I34" i="160"/>
  <c r="I31" i="153"/>
  <c r="I33" i="149"/>
  <c r="I39" i="153"/>
  <c r="I28" i="149"/>
  <c r="B1" i="125"/>
  <c r="D48" i="145"/>
  <c r="C48" i="145"/>
  <c r="B48" i="145"/>
  <c r="D47" i="145"/>
  <c r="C47" i="145"/>
  <c r="D46" i="145"/>
  <c r="C46" i="145"/>
  <c r="D12" i="145"/>
  <c r="C12" i="145"/>
  <c r="B12" i="145"/>
  <c r="D11" i="145"/>
  <c r="C11" i="145"/>
  <c r="B11" i="145"/>
  <c r="D10" i="145"/>
  <c r="C10" i="145"/>
  <c r="B10" i="145"/>
  <c r="C1" i="145"/>
  <c r="A1" i="66"/>
  <c r="B16" i="125"/>
  <c r="B13" i="125"/>
  <c r="B12" i="125"/>
  <c r="B11" i="125"/>
  <c r="B10" i="125"/>
  <c r="C2" i="138"/>
  <c r="H48" i="138"/>
  <c r="I48" i="138" s="1"/>
  <c r="D48" i="138"/>
  <c r="C48" i="138"/>
  <c r="B48" i="138"/>
  <c r="D47" i="138"/>
  <c r="C47" i="138"/>
  <c r="D46" i="138"/>
  <c r="C46" i="138"/>
  <c r="G36" i="138"/>
  <c r="G35" i="138"/>
  <c r="G35" i="145" s="1"/>
  <c r="H35" i="145" s="1"/>
  <c r="C14" i="138"/>
  <c r="D12" i="138"/>
  <c r="C12" i="138"/>
  <c r="B12" i="138"/>
  <c r="D11" i="138"/>
  <c r="C11" i="138"/>
  <c r="B11" i="138"/>
  <c r="D10" i="138"/>
  <c r="C10" i="138"/>
  <c r="B10" i="138"/>
  <c r="I31" i="145" l="1"/>
  <c r="I34" i="145"/>
  <c r="I29" i="145"/>
  <c r="I33" i="146"/>
  <c r="I39" i="146"/>
  <c r="I33" i="153"/>
  <c r="I28" i="151"/>
  <c r="I39" i="147"/>
  <c r="I26" i="147" s="1"/>
  <c r="I28" i="152"/>
  <c r="I39" i="160"/>
  <c r="I39" i="152"/>
  <c r="I28" i="153"/>
  <c r="I28" i="160"/>
  <c r="I33" i="160"/>
  <c r="I33" i="150"/>
  <c r="I28" i="150"/>
  <c r="I9" i="160"/>
  <c r="I7" i="160" s="1"/>
  <c r="I28" i="146"/>
  <c r="I26" i="149"/>
  <c r="B13" i="66"/>
  <c r="B8" i="125" s="1"/>
  <c r="H36" i="138"/>
  <c r="I36" i="138" s="1"/>
  <c r="H41" i="138"/>
  <c r="I41" i="138" s="1"/>
  <c r="I41" i="145" s="1"/>
  <c r="H40" i="138"/>
  <c r="I40" i="138" s="1"/>
  <c r="I40" i="145" s="1"/>
  <c r="H35" i="138"/>
  <c r="I35" i="138" s="1"/>
  <c r="I35" i="145" s="1"/>
  <c r="I28" i="138"/>
  <c r="B19" i="117"/>
  <c r="B9" i="125"/>
  <c r="L13" i="117"/>
  <c r="L14" i="117"/>
  <c r="I26" i="146" l="1"/>
  <c r="I26" i="153"/>
  <c r="I26" i="160"/>
  <c r="I26" i="150"/>
  <c r="I26" i="152"/>
  <c r="I33" i="138"/>
  <c r="I39" i="138"/>
  <c r="H47" i="138"/>
  <c r="I47" i="138" s="1"/>
  <c r="I26" i="138" l="1"/>
  <c r="H19" i="117" l="1"/>
  <c r="G19" i="117"/>
  <c r="L10" i="117"/>
  <c r="C40" i="95"/>
  <c r="C27" i="95"/>
  <c r="C14" i="95"/>
  <c r="C15" i="95" s="1"/>
  <c r="I18" i="117" l="1"/>
  <c r="G37" i="151" l="1"/>
  <c r="I17" i="117"/>
  <c r="H37" i="151" l="1"/>
  <c r="I37" i="151" s="1"/>
  <c r="I37" i="145" s="1"/>
  <c r="G37" i="145"/>
  <c r="H37" i="145" s="1"/>
  <c r="L17" i="117"/>
  <c r="G36" i="151"/>
  <c r="L18" i="117"/>
  <c r="G21" i="117"/>
  <c r="G20" i="117"/>
  <c r="H36" i="151" l="1"/>
  <c r="I36" i="151" s="1"/>
  <c r="I36" i="145" s="1"/>
  <c r="G36" i="145"/>
  <c r="H36" i="145" s="1"/>
  <c r="H47" i="149"/>
  <c r="I47" i="149" s="1"/>
  <c r="I47" i="145" s="1"/>
  <c r="H48" i="149"/>
  <c r="I48" i="149" s="1"/>
  <c r="I48" i="145" s="1"/>
  <c r="H20" i="117"/>
  <c r="K20" i="117"/>
  <c r="H21" i="117"/>
  <c r="K21" i="117"/>
  <c r="K19" i="117"/>
  <c r="I33" i="151" l="1"/>
  <c r="I26" i="151" s="1"/>
  <c r="B12" i="110"/>
  <c r="B13" i="110"/>
  <c r="B14" i="110"/>
  <c r="B15" i="110"/>
  <c r="B16" i="110"/>
  <c r="B17" i="110"/>
  <c r="B18" i="110"/>
  <c r="B19" i="110"/>
  <c r="B20" i="110"/>
  <c r="B21" i="110"/>
  <c r="B11" i="110"/>
  <c r="A12" i="110" l="1"/>
  <c r="A13" i="110"/>
  <c r="A16" i="110"/>
  <c r="A18" i="110"/>
  <c r="A19" i="110"/>
  <c r="A20" i="110"/>
  <c r="A21" i="110"/>
  <c r="D8" i="110"/>
  <c r="A15" i="110" l="1"/>
  <c r="A17" i="110"/>
  <c r="A14" i="110"/>
  <c r="E11" i="110"/>
  <c r="A10" i="111" l="1"/>
  <c r="B15" i="117"/>
  <c r="L11" i="117" l="1"/>
  <c r="L12" i="117"/>
  <c r="H4" i="54" l="1"/>
  <c r="B6" i="54"/>
  <c r="B5" i="54"/>
  <c r="C4" i="160" l="1"/>
  <c r="C5" i="82"/>
  <c r="J4" i="129"/>
  <c r="J2" i="160"/>
  <c r="J3" i="82"/>
  <c r="B5" i="157"/>
  <c r="C3" i="149"/>
  <c r="C3" i="146"/>
  <c r="C3" i="153"/>
  <c r="C3" i="151"/>
  <c r="C3" i="150"/>
  <c r="C3" i="147"/>
  <c r="C3" i="152"/>
  <c r="B6" i="157"/>
  <c r="C4" i="146"/>
  <c r="C4" i="150"/>
  <c r="C4" i="151"/>
  <c r="C4" i="147"/>
  <c r="C4" i="153"/>
  <c r="C4" i="152"/>
  <c r="C4" i="149"/>
  <c r="F4" i="157"/>
  <c r="F4" i="110"/>
  <c r="J2" i="152"/>
  <c r="J2" i="149"/>
  <c r="J2" i="146"/>
  <c r="J2" i="151"/>
  <c r="J2" i="147"/>
  <c r="J2" i="153"/>
  <c r="J2" i="150"/>
  <c r="C4" i="145"/>
  <c r="C4" i="138"/>
  <c r="C3" i="145"/>
  <c r="C3" i="138"/>
  <c r="J2" i="145"/>
  <c r="J2" i="138"/>
  <c r="BB4" i="66"/>
  <c r="B6" i="129"/>
  <c r="B5" i="129"/>
  <c r="B4" i="125"/>
  <c r="B5" i="125"/>
  <c r="E3" i="125"/>
  <c r="B5" i="117"/>
  <c r="B5" i="116"/>
  <c r="B5" i="115"/>
  <c r="B6" i="116"/>
  <c r="B6" i="117"/>
  <c r="B6" i="115"/>
  <c r="K4" i="116"/>
  <c r="M4" i="117"/>
  <c r="G4" i="115"/>
  <c r="C5" i="66" l="1"/>
  <c r="C6" i="66" l="1"/>
  <c r="B6" i="111" l="1"/>
  <c r="B5" i="111"/>
  <c r="G4" i="111"/>
  <c r="E21" i="110"/>
  <c r="E20" i="110"/>
  <c r="E19" i="110"/>
  <c r="E18" i="110"/>
  <c r="E17" i="110"/>
  <c r="E16" i="110"/>
  <c r="E15" i="110"/>
  <c r="E14" i="110"/>
  <c r="E13" i="110"/>
  <c r="E12" i="110"/>
  <c r="B6" i="110"/>
  <c r="B5" i="110"/>
  <c r="L15" i="117" l="1"/>
  <c r="B6" i="95" l="1"/>
  <c r="B5" i="95"/>
  <c r="H4" i="95"/>
  <c r="C29" i="95"/>
  <c r="C34" i="95"/>
  <c r="C31" i="95" s="1"/>
  <c r="C36" i="95"/>
  <c r="C35" i="95" s="1"/>
  <c r="C26" i="95" l="1"/>
  <c r="C47" i="95" s="1"/>
  <c r="C17" i="95"/>
  <c r="C20" i="95" l="1"/>
  <c r="C22" i="95" s="1"/>
  <c r="C10" i="95"/>
  <c r="C24" i="95"/>
  <c r="C19" i="95" s="1"/>
  <c r="C48" i="95"/>
  <c r="C49" i="95" s="1"/>
  <c r="F27" i="82" l="1"/>
  <c r="J27" i="82" s="1"/>
  <c r="F26" i="82"/>
  <c r="J26" i="82" s="1"/>
  <c r="F25" i="82"/>
  <c r="J25" i="82" s="1"/>
  <c r="F24" i="82"/>
  <c r="J24" i="82" s="1"/>
  <c r="F23" i="82"/>
  <c r="J23" i="82" s="1"/>
  <c r="F22" i="82"/>
  <c r="J22" i="82" s="1"/>
  <c r="H10" i="146"/>
  <c r="I10" i="146" s="1"/>
  <c r="H10" i="149"/>
  <c r="I10" i="149" s="1"/>
  <c r="H10" i="147"/>
  <c r="I10" i="147" s="1"/>
  <c r="E19" i="149" l="1"/>
  <c r="H19" i="149" s="1"/>
  <c r="I19" i="149" s="1"/>
  <c r="E19" i="145"/>
  <c r="H19" i="145" s="1"/>
  <c r="E19" i="147"/>
  <c r="E19" i="151"/>
  <c r="H19" i="151" s="1"/>
  <c r="I19" i="151" s="1"/>
  <c r="E19" i="160"/>
  <c r="H19" i="160" s="1"/>
  <c r="I19" i="160" s="1"/>
  <c r="E19" i="146"/>
  <c r="E19" i="150"/>
  <c r="H19" i="150" s="1"/>
  <c r="I19" i="150" s="1"/>
  <c r="E19" i="138"/>
  <c r="E19" i="152"/>
  <c r="H19" i="152" s="1"/>
  <c r="I19" i="152" s="1"/>
  <c r="E19" i="153"/>
  <c r="H19" i="153" s="1"/>
  <c r="I19" i="153" s="1"/>
  <c r="E20" i="160"/>
  <c r="H20" i="160" s="1"/>
  <c r="I20" i="160" s="1"/>
  <c r="E20" i="153"/>
  <c r="H20" i="153" s="1"/>
  <c r="I20" i="153" s="1"/>
  <c r="E20" i="145"/>
  <c r="H20" i="145" s="1"/>
  <c r="E20" i="149"/>
  <c r="E20" i="151"/>
  <c r="H20" i="151" s="1"/>
  <c r="I20" i="151" s="1"/>
  <c r="E20" i="152"/>
  <c r="H20" i="152" s="1"/>
  <c r="I20" i="152" s="1"/>
  <c r="E20" i="150"/>
  <c r="H20" i="150" s="1"/>
  <c r="I20" i="150" s="1"/>
  <c r="E20" i="146"/>
  <c r="E20" i="147"/>
  <c r="E20" i="138"/>
  <c r="E21" i="151"/>
  <c r="H21" i="151" s="1"/>
  <c r="I21" i="151" s="1"/>
  <c r="E21" i="152"/>
  <c r="H21" i="152" s="1"/>
  <c r="I21" i="152" s="1"/>
  <c r="E21" i="153"/>
  <c r="H21" i="153" s="1"/>
  <c r="I21" i="153" s="1"/>
  <c r="E21" i="160"/>
  <c r="H21" i="160" s="1"/>
  <c r="I21" i="160" s="1"/>
  <c r="E21" i="146"/>
  <c r="E21" i="138"/>
  <c r="E21" i="147"/>
  <c r="E21" i="145"/>
  <c r="H21" i="145" s="1"/>
  <c r="E21" i="149"/>
  <c r="E21" i="150"/>
  <c r="H21" i="150" s="1"/>
  <c r="I21" i="150" s="1"/>
  <c r="E22" i="149"/>
  <c r="E22" i="160"/>
  <c r="H22" i="160" s="1"/>
  <c r="I22" i="160" s="1"/>
  <c r="E22" i="151"/>
  <c r="H22" i="151" s="1"/>
  <c r="I22" i="151" s="1"/>
  <c r="E22" i="152"/>
  <c r="H22" i="152" s="1"/>
  <c r="I22" i="152" s="1"/>
  <c r="E22" i="146"/>
  <c r="E22" i="138"/>
  <c r="E22" i="145"/>
  <c r="H22" i="145" s="1"/>
  <c r="E22" i="153"/>
  <c r="H22" i="153" s="1"/>
  <c r="I22" i="153" s="1"/>
  <c r="E22" i="147"/>
  <c r="E22" i="150"/>
  <c r="H22" i="150" s="1"/>
  <c r="I22" i="150" s="1"/>
  <c r="E23" i="147"/>
  <c r="E23" i="149"/>
  <c r="E23" i="151"/>
  <c r="H23" i="151" s="1"/>
  <c r="I23" i="151" s="1"/>
  <c r="E23" i="150"/>
  <c r="H23" i="150" s="1"/>
  <c r="I23" i="150" s="1"/>
  <c r="E23" i="153"/>
  <c r="H23" i="153" s="1"/>
  <c r="I23" i="153" s="1"/>
  <c r="E23" i="152"/>
  <c r="H23" i="152" s="1"/>
  <c r="I23" i="152" s="1"/>
  <c r="E23" i="160"/>
  <c r="H23" i="160" s="1"/>
  <c r="I23" i="160" s="1"/>
  <c r="E23" i="138"/>
  <c r="E23" i="146"/>
  <c r="E23" i="145"/>
  <c r="H23" i="145" s="1"/>
  <c r="E24" i="146"/>
  <c r="E24" i="145"/>
  <c r="H24" i="145" s="1"/>
  <c r="E24" i="149"/>
  <c r="E24" i="151"/>
  <c r="H24" i="151" s="1"/>
  <c r="I24" i="151" s="1"/>
  <c r="E24" i="160"/>
  <c r="H24" i="160" s="1"/>
  <c r="I24" i="160" s="1"/>
  <c r="E24" i="147"/>
  <c r="E24" i="152"/>
  <c r="H24" i="152" s="1"/>
  <c r="I24" i="152" s="1"/>
  <c r="E24" i="150"/>
  <c r="H24" i="150" s="1"/>
  <c r="I24" i="150" s="1"/>
  <c r="E24" i="138"/>
  <c r="E24" i="153"/>
  <c r="H24" i="153" s="1"/>
  <c r="I24" i="153" s="1"/>
  <c r="H12" i="146"/>
  <c r="I12" i="146" s="1"/>
  <c r="H12" i="149"/>
  <c r="I12" i="149" s="1"/>
  <c r="H12" i="147"/>
  <c r="I12" i="147" s="1"/>
  <c r="H11" i="147"/>
  <c r="I11" i="147" s="1"/>
  <c r="H11" i="149"/>
  <c r="I11" i="149" s="1"/>
  <c r="H11" i="146"/>
  <c r="I11" i="146" s="1"/>
  <c r="H12" i="138"/>
  <c r="I12" i="138" s="1"/>
  <c r="H14" i="138"/>
  <c r="I14" i="138" s="1"/>
  <c r="I14" i="145" s="1"/>
  <c r="H11" i="138"/>
  <c r="I11" i="138" s="1"/>
  <c r="H10" i="138"/>
  <c r="I10" i="138" s="1"/>
  <c r="I10" i="145" s="1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I12" i="145" l="1"/>
  <c r="I11" i="145"/>
  <c r="I18" i="160"/>
  <c r="I16" i="160" s="1"/>
  <c r="H23" i="147"/>
  <c r="I23" i="147" s="1"/>
  <c r="H23" i="149"/>
  <c r="I23" i="149" s="1"/>
  <c r="H23" i="146"/>
  <c r="I23" i="146" s="1"/>
  <c r="H22" i="146"/>
  <c r="I22" i="146" s="1"/>
  <c r="H22" i="149"/>
  <c r="I22" i="149" s="1"/>
  <c r="H22" i="147"/>
  <c r="I22" i="147" s="1"/>
  <c r="I9" i="149"/>
  <c r="I7" i="149" s="1"/>
  <c r="H24" i="146"/>
  <c r="I24" i="146" s="1"/>
  <c r="H24" i="149"/>
  <c r="I24" i="149" s="1"/>
  <c r="H24" i="147"/>
  <c r="I24" i="147" s="1"/>
  <c r="I9" i="146"/>
  <c r="I7" i="146" s="1"/>
  <c r="I9" i="150"/>
  <c r="I7" i="150" s="1"/>
  <c r="H21" i="147"/>
  <c r="I21" i="147" s="1"/>
  <c r="H21" i="149"/>
  <c r="I21" i="149" s="1"/>
  <c r="H21" i="146"/>
  <c r="I21" i="146" s="1"/>
  <c r="I9" i="151"/>
  <c r="I7" i="151" s="1"/>
  <c r="H20" i="147"/>
  <c r="I20" i="147" s="1"/>
  <c r="H20" i="146"/>
  <c r="I20" i="146" s="1"/>
  <c r="H20" i="149"/>
  <c r="I20" i="149" s="1"/>
  <c r="I9" i="153"/>
  <c r="I7" i="153" s="1"/>
  <c r="I9" i="147"/>
  <c r="I7" i="147" s="1"/>
  <c r="H19" i="146"/>
  <c r="I19" i="146" s="1"/>
  <c r="H19" i="147"/>
  <c r="I19" i="147" s="1"/>
  <c r="I9" i="152"/>
  <c r="I7" i="152" s="1"/>
  <c r="H19" i="138"/>
  <c r="I19" i="138" s="1"/>
  <c r="I9" i="138"/>
  <c r="I7" i="138" s="1"/>
  <c r="H23" i="138"/>
  <c r="I23" i="138" s="1"/>
  <c r="I23" i="145" s="1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44" i="28"/>
  <c r="G40" i="28" s="1"/>
  <c r="G68" i="28"/>
  <c r="G27" i="28"/>
  <c r="G34" i="28"/>
  <c r="G30" i="28" s="1"/>
  <c r="G38" i="28"/>
  <c r="G58" i="28"/>
  <c r="G21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I19" i="145" l="1"/>
  <c r="I18" i="152"/>
  <c r="I16" i="152" s="1"/>
  <c r="I18" i="150"/>
  <c r="I16" i="150" s="1"/>
  <c r="I18" i="153"/>
  <c r="I16" i="153" s="1"/>
  <c r="I18" i="149"/>
  <c r="I16" i="149" s="1"/>
  <c r="I18" i="147"/>
  <c r="I16" i="147" s="1"/>
  <c r="I18" i="151"/>
  <c r="I16" i="151" s="1"/>
  <c r="I18" i="146"/>
  <c r="I16" i="146" s="1"/>
  <c r="H22" i="138"/>
  <c r="I22" i="138" s="1"/>
  <c r="I22" i="145" s="1"/>
  <c r="H21" i="138"/>
  <c r="I21" i="138" s="1"/>
  <c r="I21" i="145" s="1"/>
  <c r="H20" i="138"/>
  <c r="I20" i="138" s="1"/>
  <c r="I20" i="145" s="1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H24" i="138" l="1"/>
  <c r="I24" i="138" s="1"/>
  <c r="I24" i="145" s="1"/>
  <c r="I18" i="138" l="1"/>
  <c r="I16" i="138" s="1"/>
  <c r="J15" i="129" l="1"/>
  <c r="K15" i="129" s="1"/>
  <c r="J17" i="129"/>
  <c r="J14" i="129"/>
  <c r="K14" i="129" s="1"/>
  <c r="J13" i="129"/>
  <c r="J16" i="129"/>
  <c r="K16" i="129" s="1"/>
  <c r="J12" i="129"/>
  <c r="J11" i="129"/>
  <c r="J10" i="129"/>
  <c r="K12" i="129" l="1"/>
  <c r="K10" i="129"/>
  <c r="J18" i="129"/>
  <c r="K18" i="129" s="1"/>
  <c r="K13" i="129"/>
  <c r="K11" i="129"/>
  <c r="K17" i="129"/>
  <c r="K19" i="129" l="1"/>
  <c r="J19" i="129"/>
  <c r="K22" i="129"/>
  <c r="K23" i="129"/>
  <c r="J49" i="82" s="1"/>
  <c r="E46" i="160" l="1"/>
  <c r="H46" i="160" s="1"/>
  <c r="I46" i="160" s="1"/>
  <c r="E46" i="145"/>
  <c r="H46" i="145" s="1"/>
  <c r="E46" i="146"/>
  <c r="H46" i="146" s="1"/>
  <c r="I46" i="146" s="1"/>
  <c r="E46" i="138"/>
  <c r="H46" i="138" s="1"/>
  <c r="I46" i="138" s="1"/>
  <c r="E46" i="151"/>
  <c r="H46" i="151" s="1"/>
  <c r="I46" i="151" s="1"/>
  <c r="E46" i="147"/>
  <c r="H46" i="147" s="1"/>
  <c r="I46" i="147" s="1"/>
  <c r="E46" i="152"/>
  <c r="H46" i="152" s="1"/>
  <c r="I46" i="152" s="1"/>
  <c r="E46" i="149"/>
  <c r="H46" i="149" s="1"/>
  <c r="I46" i="149" s="1"/>
  <c r="E46" i="150"/>
  <c r="H46" i="150" s="1"/>
  <c r="I46" i="150" s="1"/>
  <c r="E46" i="153"/>
  <c r="H46" i="153" s="1"/>
  <c r="I46" i="153" s="1"/>
  <c r="I46" i="145" l="1"/>
  <c r="I45" i="150"/>
  <c r="I43" i="150" s="1"/>
  <c r="I45" i="149"/>
  <c r="I43" i="149" s="1"/>
  <c r="I45" i="152"/>
  <c r="I43" i="152" s="1"/>
  <c r="I45" i="151"/>
  <c r="I43" i="151" s="1"/>
  <c r="I45" i="160"/>
  <c r="I43" i="160" s="1"/>
  <c r="I45" i="147"/>
  <c r="I43" i="147" s="1"/>
  <c r="I50" i="147" s="1"/>
  <c r="I45" i="138"/>
  <c r="I43" i="138" s="1"/>
  <c r="I45" i="146"/>
  <c r="I43" i="146" s="1"/>
  <c r="I45" i="153"/>
  <c r="I43" i="153" s="1"/>
  <c r="J46" i="147" l="1"/>
  <c r="J14" i="147"/>
  <c r="J13" i="147"/>
  <c r="I50" i="153"/>
  <c r="J43" i="147"/>
  <c r="J16" i="147"/>
  <c r="J34" i="147"/>
  <c r="J21" i="147"/>
  <c r="J30" i="147"/>
  <c r="J10" i="147"/>
  <c r="J24" i="147"/>
  <c r="J26" i="147"/>
  <c r="J37" i="147"/>
  <c r="D17" i="66"/>
  <c r="J31" i="147"/>
  <c r="J22" i="147"/>
  <c r="J12" i="147"/>
  <c r="J20" i="147"/>
  <c r="J48" i="147"/>
  <c r="J41" i="147"/>
  <c r="J36" i="147"/>
  <c r="J40" i="147"/>
  <c r="J23" i="147"/>
  <c r="J11" i="147"/>
  <c r="J19" i="147"/>
  <c r="J7" i="147"/>
  <c r="J35" i="147"/>
  <c r="J29" i="147"/>
  <c r="J47" i="147"/>
  <c r="I50" i="152"/>
  <c r="I50" i="160"/>
  <c r="I50" i="146"/>
  <c r="I50" i="138"/>
  <c r="I50" i="151"/>
  <c r="I50" i="149"/>
  <c r="I50" i="150"/>
  <c r="J43" i="138" l="1"/>
  <c r="J13" i="138"/>
  <c r="J43" i="160"/>
  <c r="J14" i="160"/>
  <c r="J13" i="160"/>
  <c r="J43" i="152"/>
  <c r="J13" i="152"/>
  <c r="J14" i="152"/>
  <c r="J43" i="153"/>
  <c r="J13" i="153"/>
  <c r="J14" i="153"/>
  <c r="J43" i="149"/>
  <c r="J14" i="149"/>
  <c r="J13" i="149"/>
  <c r="J43" i="151"/>
  <c r="J14" i="151"/>
  <c r="J13" i="151"/>
  <c r="J43" i="150"/>
  <c r="J13" i="150"/>
  <c r="J14" i="150"/>
  <c r="J43" i="146"/>
  <c r="J14" i="146"/>
  <c r="J13" i="146"/>
  <c r="J39" i="147"/>
  <c r="J45" i="147"/>
  <c r="J18" i="147"/>
  <c r="J33" i="147"/>
  <c r="J50" i="147"/>
  <c r="J9" i="147"/>
  <c r="J40" i="151"/>
  <c r="J19" i="151"/>
  <c r="J12" i="151"/>
  <c r="J10" i="151"/>
  <c r="J11" i="151"/>
  <c r="J21" i="151"/>
  <c r="J35" i="151"/>
  <c r="J31" i="151"/>
  <c r="J41" i="151"/>
  <c r="J24" i="151"/>
  <c r="J22" i="151"/>
  <c r="J26" i="151"/>
  <c r="J16" i="151"/>
  <c r="J34" i="151"/>
  <c r="D23" i="66"/>
  <c r="J48" i="151"/>
  <c r="J7" i="151"/>
  <c r="J20" i="151"/>
  <c r="J23" i="151"/>
  <c r="J30" i="151"/>
  <c r="J37" i="151"/>
  <c r="J36" i="151"/>
  <c r="J47" i="151"/>
  <c r="J29" i="151"/>
  <c r="J46" i="151"/>
  <c r="E10" i="125"/>
  <c r="J35" i="160"/>
  <c r="J41" i="160"/>
  <c r="J36" i="160"/>
  <c r="J31" i="160"/>
  <c r="J12" i="160"/>
  <c r="J40" i="160"/>
  <c r="J30" i="160"/>
  <c r="J26" i="160"/>
  <c r="J21" i="160"/>
  <c r="J7" i="160"/>
  <c r="J22" i="160"/>
  <c r="J19" i="160"/>
  <c r="J29" i="160"/>
  <c r="J37" i="160"/>
  <c r="J20" i="160"/>
  <c r="J47" i="160"/>
  <c r="J23" i="160"/>
  <c r="J24" i="160"/>
  <c r="J10" i="160"/>
  <c r="J11" i="160"/>
  <c r="J34" i="160"/>
  <c r="D27" i="66"/>
  <c r="J48" i="160"/>
  <c r="J16" i="160"/>
  <c r="J46" i="160"/>
  <c r="J12" i="152"/>
  <c r="D29" i="66"/>
  <c r="J21" i="152"/>
  <c r="J41" i="152"/>
  <c r="J19" i="152"/>
  <c r="J26" i="152"/>
  <c r="J36" i="152"/>
  <c r="J34" i="152"/>
  <c r="J22" i="152"/>
  <c r="J20" i="152"/>
  <c r="J47" i="152"/>
  <c r="J23" i="152"/>
  <c r="J7" i="152"/>
  <c r="J16" i="152"/>
  <c r="J48" i="152"/>
  <c r="J40" i="152"/>
  <c r="J11" i="152"/>
  <c r="J35" i="152"/>
  <c r="J37" i="152"/>
  <c r="J31" i="152"/>
  <c r="J30" i="152"/>
  <c r="J10" i="152"/>
  <c r="J29" i="152"/>
  <c r="J24" i="152"/>
  <c r="J46" i="152"/>
  <c r="J31" i="138"/>
  <c r="J22" i="138"/>
  <c r="J16" i="138"/>
  <c r="J37" i="138"/>
  <c r="J21" i="138"/>
  <c r="J7" i="138"/>
  <c r="J36" i="138"/>
  <c r="J34" i="138"/>
  <c r="J29" i="138"/>
  <c r="J23" i="138"/>
  <c r="J35" i="138"/>
  <c r="J12" i="138"/>
  <c r="J19" i="138"/>
  <c r="J11" i="138"/>
  <c r="J14" i="138"/>
  <c r="J48" i="138"/>
  <c r="J40" i="138"/>
  <c r="J10" i="138"/>
  <c r="J47" i="138"/>
  <c r="D13" i="66"/>
  <c r="J24" i="138"/>
  <c r="J41" i="138"/>
  <c r="J30" i="138"/>
  <c r="J20" i="138"/>
  <c r="J26" i="138"/>
  <c r="J46" i="138"/>
  <c r="J28" i="147"/>
  <c r="J7" i="149"/>
  <c r="J35" i="149"/>
  <c r="J21" i="149"/>
  <c r="J29" i="149"/>
  <c r="D19" i="66"/>
  <c r="J40" i="149"/>
  <c r="J11" i="149"/>
  <c r="J16" i="149"/>
  <c r="J23" i="149"/>
  <c r="J36" i="149"/>
  <c r="J22" i="149"/>
  <c r="J47" i="149"/>
  <c r="J30" i="149"/>
  <c r="J37" i="149"/>
  <c r="J31" i="149"/>
  <c r="J48" i="149"/>
  <c r="J20" i="149"/>
  <c r="J10" i="149"/>
  <c r="J34" i="149"/>
  <c r="J41" i="149"/>
  <c r="J24" i="149"/>
  <c r="J19" i="149"/>
  <c r="J26" i="149"/>
  <c r="J12" i="149"/>
  <c r="J46" i="149"/>
  <c r="J40" i="150"/>
  <c r="J20" i="150"/>
  <c r="D21" i="66"/>
  <c r="J36" i="150"/>
  <c r="J26" i="150"/>
  <c r="J47" i="150"/>
  <c r="J48" i="150"/>
  <c r="J21" i="150"/>
  <c r="J37" i="150"/>
  <c r="J41" i="150"/>
  <c r="J24" i="150"/>
  <c r="J16" i="150"/>
  <c r="J7" i="150"/>
  <c r="J34" i="150"/>
  <c r="J23" i="150"/>
  <c r="J11" i="150"/>
  <c r="J19" i="150"/>
  <c r="J35" i="150"/>
  <c r="J10" i="150"/>
  <c r="J29" i="150"/>
  <c r="J22" i="150"/>
  <c r="J12" i="150"/>
  <c r="J30" i="150"/>
  <c r="J31" i="150"/>
  <c r="J46" i="150"/>
  <c r="J40" i="146"/>
  <c r="J47" i="146"/>
  <c r="D15" i="66"/>
  <c r="J37" i="146"/>
  <c r="J24" i="146"/>
  <c r="J34" i="146"/>
  <c r="J30" i="146"/>
  <c r="J26" i="146"/>
  <c r="J16" i="146"/>
  <c r="J35" i="146"/>
  <c r="J23" i="146"/>
  <c r="J7" i="146"/>
  <c r="J41" i="146"/>
  <c r="J22" i="146"/>
  <c r="J36" i="146"/>
  <c r="J19" i="146"/>
  <c r="J21" i="146"/>
  <c r="J48" i="146"/>
  <c r="J10" i="146"/>
  <c r="J11" i="146"/>
  <c r="J29" i="146"/>
  <c r="J20" i="146"/>
  <c r="J31" i="146"/>
  <c r="J12" i="146"/>
  <c r="J46" i="146"/>
  <c r="D25" i="66"/>
  <c r="J47" i="153"/>
  <c r="J20" i="153"/>
  <c r="J48" i="153"/>
  <c r="J22" i="153"/>
  <c r="J23" i="153"/>
  <c r="J30" i="153"/>
  <c r="J36" i="153"/>
  <c r="J11" i="153"/>
  <c r="J7" i="153"/>
  <c r="J21" i="153"/>
  <c r="J29" i="153"/>
  <c r="J37" i="153"/>
  <c r="J31" i="153"/>
  <c r="J12" i="153"/>
  <c r="J24" i="153"/>
  <c r="J35" i="153"/>
  <c r="J40" i="153"/>
  <c r="J16" i="153"/>
  <c r="J19" i="153"/>
  <c r="J26" i="153"/>
  <c r="J34" i="153"/>
  <c r="J41" i="153"/>
  <c r="J10" i="153"/>
  <c r="J46" i="153"/>
  <c r="J33" i="150" l="1"/>
  <c r="J45" i="146"/>
  <c r="J45" i="150"/>
  <c r="J28" i="149"/>
  <c r="J39" i="152"/>
  <c r="J9" i="160"/>
  <c r="J33" i="160"/>
  <c r="J18" i="146"/>
  <c r="J45" i="149"/>
  <c r="J33" i="149"/>
  <c r="J39" i="160"/>
  <c r="J33" i="146"/>
  <c r="J9" i="150"/>
  <c r="J39" i="138"/>
  <c r="J33" i="152"/>
  <c r="J39" i="146"/>
  <c r="J45" i="152"/>
  <c r="J18" i="150"/>
  <c r="J18" i="153"/>
  <c r="J39" i="150"/>
  <c r="J9" i="149"/>
  <c r="J50" i="138"/>
  <c r="J28" i="152"/>
  <c r="J45" i="160"/>
  <c r="J50" i="160"/>
  <c r="J28" i="153"/>
  <c r="J18" i="138"/>
  <c r="J9" i="152"/>
  <c r="J50" i="149"/>
  <c r="D32" i="66"/>
  <c r="E8" i="125"/>
  <c r="J50" i="152"/>
  <c r="J9" i="151"/>
  <c r="J28" i="146"/>
  <c r="J39" i="153"/>
  <c r="J45" i="153"/>
  <c r="J33" i="153"/>
  <c r="J50" i="153"/>
  <c r="J9" i="146"/>
  <c r="J50" i="146"/>
  <c r="J50" i="150"/>
  <c r="J33" i="138"/>
  <c r="J18" i="152"/>
  <c r="J9" i="153"/>
  <c r="E14" i="125"/>
  <c r="E9" i="125"/>
  <c r="J28" i="150"/>
  <c r="J18" i="149"/>
  <c r="J39" i="149"/>
  <c r="J45" i="138"/>
  <c r="J9" i="138"/>
  <c r="E15" i="125"/>
  <c r="J45" i="151"/>
  <c r="J50" i="151"/>
  <c r="J18" i="151"/>
  <c r="E11" i="125"/>
  <c r="J28" i="138"/>
  <c r="J28" i="160"/>
  <c r="J28" i="151"/>
  <c r="J39" i="151"/>
  <c r="E12" i="125"/>
  <c r="E16" i="125"/>
  <c r="J18" i="160"/>
  <c r="E13" i="125"/>
  <c r="J33" i="151"/>
  <c r="E17" i="66" l="1"/>
  <c r="E23" i="66"/>
  <c r="E13" i="66"/>
  <c r="E17" i="125"/>
  <c r="D10" i="125" s="1"/>
  <c r="E19" i="66"/>
  <c r="E27" i="66"/>
  <c r="E25" i="66"/>
  <c r="E29" i="66"/>
  <c r="E21" i="66"/>
  <c r="E15" i="66"/>
  <c r="D14" i="125" l="1"/>
  <c r="D12" i="125"/>
  <c r="D16" i="125"/>
  <c r="D11" i="125"/>
  <c r="D8" i="125"/>
  <c r="D13" i="125"/>
  <c r="E32" i="66"/>
  <c r="D9" i="125"/>
  <c r="D15" i="125"/>
  <c r="D17" i="125" l="1"/>
  <c r="I9" i="145" l="1"/>
  <c r="I7" i="145" s="1"/>
  <c r="I18" i="145"/>
  <c r="I16" i="145" s="1"/>
  <c r="I45" i="145"/>
  <c r="I43" i="145" s="1"/>
  <c r="I28" i="145"/>
  <c r="I33" i="145"/>
  <c r="I39" i="145"/>
  <c r="I26" i="145" l="1"/>
  <c r="I50" i="145" s="1"/>
  <c r="J16" i="145" l="1"/>
  <c r="J13" i="145"/>
  <c r="J14" i="145"/>
  <c r="J43" i="145"/>
  <c r="J40" i="145"/>
  <c r="J48" i="145"/>
  <c r="J23" i="145"/>
  <c r="J29" i="145"/>
  <c r="J22" i="145"/>
  <c r="J24" i="145"/>
  <c r="J10" i="145"/>
  <c r="J36" i="145"/>
  <c r="J47" i="145"/>
  <c r="J30" i="145"/>
  <c r="J12" i="145"/>
  <c r="J34" i="145"/>
  <c r="J21" i="145"/>
  <c r="J41" i="145"/>
  <c r="J37" i="145"/>
  <c r="J35" i="145"/>
  <c r="J11" i="145"/>
  <c r="J19" i="145"/>
  <c r="J31" i="145"/>
  <c r="J20" i="145"/>
  <c r="J46" i="145"/>
  <c r="J7" i="145"/>
  <c r="J26" i="145"/>
  <c r="J50" i="145" l="1"/>
  <c r="J33" i="145"/>
  <c r="J28" i="145"/>
  <c r="J45" i="145"/>
  <c r="J18" i="145"/>
  <c r="J39" i="145"/>
  <c r="J9" i="1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<sst xmlns="http://schemas.openxmlformats.org/spreadsheetml/2006/main" count="2182" uniqueCount="752">
  <si>
    <t xml:space="preserve">ORÇAMENTO PARA ELABORAÇÃO DE PROJETOS DE SISTEMA DE ESGOTAMENTO SANITÁRIO </t>
  </si>
  <si>
    <t>CBH DOCE</t>
  </si>
  <si>
    <t>São Sebastião do Rio Preto/MG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</si>
  <si>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</si>
  <si>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</si>
  <si>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</si>
  <si>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</si>
  <si>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</si>
  <si>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</si>
  <si>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</si>
  <si>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</si>
  <si>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</si>
  <si>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</si>
  <si>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</si>
  <si>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</si>
  <si>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</si>
  <si>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</si>
  <si>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</si>
  <si>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</si>
  <si>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</si>
  <si>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</si>
  <si>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</si>
  <si>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</si>
  <si>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</si>
  <si>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</si>
  <si>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</si>
  <si>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</si>
  <si>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</si>
  <si>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</si>
  <si>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</si>
  <si>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</si>
  <si>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</si>
  <si>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</si>
  <si>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</si>
  <si>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</si>
  <si>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</si>
  <si>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</si>
  <si>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</si>
  <si>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</si>
  <si>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</si>
  <si>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</si>
  <si>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</si>
  <si>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</si>
  <si>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</si>
  <si>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</si>
  <si>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</si>
  <si>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</si>
  <si>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</si>
  <si>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</si>
  <si>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</si>
  <si>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</si>
  <si>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</si>
  <si>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</si>
  <si>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</si>
  <si>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</si>
  <si>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</si>
  <si>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</si>
  <si>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</si>
  <si>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</si>
  <si>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</si>
  <si>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</si>
  <si>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</si>
  <si>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</si>
  <si>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</si>
  <si>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</si>
  <si>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</si>
  <si>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</si>
  <si>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</si>
  <si>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</si>
  <si>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</si>
  <si>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</si>
  <si>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</si>
  <si>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</si>
  <si>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</si>
  <si>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</si>
  <si>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</si>
  <si>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</si>
  <si>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</si>
  <si>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</si>
  <si>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</si>
  <si>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</si>
  <si>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</si>
  <si>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</si>
  <si>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</si>
  <si>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</si>
  <si>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</si>
  <si>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</si>
  <si>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</si>
  <si>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</si>
  <si>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</si>
  <si>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</si>
  <si>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</si>
  <si>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</si>
  <si>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</si>
  <si>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</si>
  <si>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</si>
  <si>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</si>
  <si>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</si>
  <si>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</si>
  <si>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</si>
  <si>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</si>
  <si>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</si>
  <si>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</si>
  <si>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</si>
  <si>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</si>
  <si>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</si>
  <si>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</si>
  <si>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</si>
  <si>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</si>
  <si>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</si>
  <si>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</si>
  <si>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</si>
  <si>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</si>
  <si>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</si>
  <si>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</si>
  <si>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</si>
  <si>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</si>
  <si>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</si>
  <si>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</si>
  <si>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</si>
  <si>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</si>
  <si>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</si>
  <si>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</si>
  <si>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</si>
  <si>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</si>
  <si>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</si>
  <si>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</si>
  <si>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</si>
  <si>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</si>
  <si>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</si>
  <si>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</si>
  <si>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</si>
  <si>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</si>
  <si>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</si>
  <si>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</si>
  <si>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</si>
  <si>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</si>
  <si>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</si>
  <si>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</si>
  <si>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</si>
  <si>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</si>
  <si>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</si>
  <si>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Sede Municipal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</si>
  <si>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</si>
  <si>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</si>
  <si>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</si>
  <si>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</si>
  <si>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</si>
  <si>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</si>
  <si>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</si>
  <si>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estimada do município</t>
  </si>
  <si>
    <t>Área territorial urbana</t>
  </si>
  <si>
    <t>km²</t>
  </si>
  <si>
    <t>Área de abrangência do projeto</t>
  </si>
  <si>
    <t>Calculado - Google Earth</t>
  </si>
  <si>
    <t>Número de habitantes por domicílio</t>
  </si>
  <si>
    <t>hab/dom</t>
  </si>
  <si>
    <t>Número de domicílios urbanos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</si>
  <si>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</si>
  <si>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</si>
  <si>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</si>
  <si>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</si>
  <si>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</si>
  <si>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</si>
  <si>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</si>
  <si>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</si>
  <si>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</si>
  <si>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</si>
  <si>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</si>
  <si>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</si>
  <si>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ORÇAMENTO PARA ELABORAÇÃO DE PROJETO DE SISTEMA DE ESGOTAMENTO SANITÁRIO </t>
  </si>
  <si>
    <t>Custos de referência</t>
  </si>
  <si>
    <t>ESPECIFICAÇÃO</t>
  </si>
  <si>
    <t>CÓDIGO</t>
  </si>
  <si>
    <t>DATA BASE</t>
  </si>
  <si>
    <t>CUSTO (R$)</t>
  </si>
  <si>
    <t>MENSAL</t>
  </si>
  <si>
    <t>UNITÁRIO</t>
  </si>
  <si>
    <t>EQUIPE TÉCNICA PERMANENTE</t>
  </si>
  <si>
    <t>PERMANENTE</t>
  </si>
  <si>
    <t>a)</t>
  </si>
  <si>
    <t>Engenheiro Coordenador</t>
  </si>
  <si>
    <t>DNIT</t>
  </si>
  <si>
    <t>P8061</t>
  </si>
  <si>
    <t>hora</t>
  </si>
  <si>
    <t>b)</t>
  </si>
  <si>
    <t>Engenheiro de Projetos Pleno</t>
  </si>
  <si>
    <t>P8066</t>
  </si>
  <si>
    <t>c)</t>
  </si>
  <si>
    <t>Engenheiro de Projetos Júnior</t>
  </si>
  <si>
    <t>P8065</t>
  </si>
  <si>
    <t>d)</t>
  </si>
  <si>
    <t>Auxiliar Administrativo</t>
  </si>
  <si>
    <t>P8026</t>
  </si>
  <si>
    <t>EQUIPE DE CONSULTORES</t>
  </si>
  <si>
    <t>CONSULTORES</t>
  </si>
  <si>
    <t>Advogado sênior</t>
  </si>
  <si>
    <t>P8003</t>
  </si>
  <si>
    <t>Engenheiro de Projetos (Elétrico)</t>
  </si>
  <si>
    <t>P8067</t>
  </si>
  <si>
    <t>Engenheiro de Projeto (Calculista)</t>
  </si>
  <si>
    <t>Engenheiro de Projetos (Mecânico)</t>
  </si>
  <si>
    <t>e)</t>
  </si>
  <si>
    <t>Engenheiro ambiental</t>
  </si>
  <si>
    <t>P8059</t>
  </si>
  <si>
    <t>f)</t>
  </si>
  <si>
    <t>Técnico em geoprocessamento</t>
  </si>
  <si>
    <t>P8155</t>
  </si>
  <si>
    <t xml:space="preserve">SERVIÇO DE SONDAGEM </t>
  </si>
  <si>
    <t>Sondagem a percussao - mobilizacao e desmobilizacao</t>
  </si>
  <si>
    <t>COPASA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</si>
  <si>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</si>
  <si>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</si>
  <si>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</si>
  <si>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</si>
  <si>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</si>
  <si>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</si>
  <si>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</si>
  <si>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</si>
  <si>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</si>
  <si>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</si>
  <si>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</si>
  <si>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</si>
  <si>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</si>
  <si>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</si>
  <si>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Composição</t>
  </si>
  <si>
    <t>m²</t>
  </si>
  <si>
    <t>Refeições</t>
  </si>
  <si>
    <t>AGEVAP</t>
  </si>
  <si>
    <t>Diárias</t>
  </si>
  <si>
    <t>FONTE DOS CUSTOS:</t>
  </si>
  <si>
    <t>Item 1.1 e 1.2:</t>
  </si>
  <si>
    <t>Item 3</t>
  </si>
  <si>
    <t>a) Compreende a distância de até 100 km (cem quilômetros), considerado o percurso de ida e volta ao local de prestação de serviços.</t>
  </si>
  <si>
    <t>Item 4</t>
  </si>
  <si>
    <t>a) O custo do veículo é composto pelo custo do veículo, gasolina, pedágio e manutenção, conforme consta na aba "Deslocamento"</t>
  </si>
  <si>
    <t>Detalhamento do Fator K</t>
  </si>
  <si>
    <t>Os K's foram calculados através de fórmulas estabelecidas pelo Acórdão 1787/2011. Os parâmetros utilizados foram estabelecidos pela Nota Técnica Conjunta nº 01/2012/SIP/SAF da Agência Nacional de Águas.</t>
  </si>
  <si>
    <t>DETALHAMENTO DO FATOR K</t>
  </si>
  <si>
    <t>ES - ENCARGOS SOCIAIS</t>
  </si>
  <si>
    <t>ESA - ENCARGOS SOCIAIS SOBRE RPA</t>
  </si>
  <si>
    <t>ARDF - ADMINISTRAÇÃO, RISCO E DESPESAS FINANCEIRAS</t>
  </si>
  <si>
    <t>L - LUCRO</t>
  </si>
  <si>
    <t>DFL - DESPESAS FISCAIS LEGAIS</t>
  </si>
  <si>
    <t>DFL=(PIS+COFINS+ISS)/(1-PIS+COFINS+ISS)</t>
  </si>
  <si>
    <t xml:space="preserve">PIS </t>
  </si>
  <si>
    <t>COFINS</t>
  </si>
  <si>
    <t>ISS</t>
  </si>
  <si>
    <t>K1</t>
  </si>
  <si>
    <t>Permanente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</si>
  <si>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</si>
  <si>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</si>
  <si>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</si>
  <si>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</si>
  <si>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</si>
  <si>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</si>
  <si>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</si>
  <si>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</si>
  <si>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</si>
  <si>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</si>
  <si>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Nº</t>
  </si>
  <si>
    <t>DADOS</t>
  </si>
  <si>
    <t>OBSERVAÇÃO</t>
  </si>
  <si>
    <t>NÚMERO MÉDIO DE DIAS IMPRODUTIVOS</t>
  </si>
  <si>
    <t>Número de dias no ano:</t>
  </si>
  <si>
    <t>dias</t>
  </si>
  <si>
    <t>Definido</t>
  </si>
  <si>
    <t>Número de dias na semana:</t>
  </si>
  <si>
    <t>Número de sábado e domingo na semana:</t>
  </si>
  <si>
    <t>Número de semanas no ano:</t>
  </si>
  <si>
    <t>semanas</t>
  </si>
  <si>
    <t>(1.1/1.2)</t>
  </si>
  <si>
    <t>Número de sábados e domingos no ano:</t>
  </si>
  <si>
    <t>(1.3 x 1.4)</t>
  </si>
  <si>
    <t>Número de feriados em dias úteis:</t>
  </si>
  <si>
    <t>Dias improdutivos no ano:</t>
  </si>
  <si>
    <t>(1.5 + 1.6)</t>
  </si>
  <si>
    <t>NÚMERO DE HORAS TRABALHADAS PELA EMPRESA (Equipe Permanente)</t>
  </si>
  <si>
    <t>Total de dias trabalhados por ano:</t>
  </si>
  <si>
    <t>(1.1 - 1.7)</t>
  </si>
  <si>
    <t>Jornada diária de trabalho:</t>
  </si>
  <si>
    <t>horas</t>
  </si>
  <si>
    <t>Acordo coletivo</t>
  </si>
  <si>
    <t>Número de horas trabalhadas por ano:</t>
  </si>
  <si>
    <t>(2.1 x 2.2)</t>
  </si>
  <si>
    <t>Número de meses no ano:</t>
  </si>
  <si>
    <t>Número médio de horas trabalhadas pela empresa no mês</t>
  </si>
  <si>
    <t>(2.3 / 2.4)</t>
  </si>
  <si>
    <t>NÚMERO DE HORAS IMPRODUTIVAS DO EMPREGADO</t>
  </si>
  <si>
    <t>horas/ano</t>
  </si>
  <si>
    <t>(3.1 + 3.2 + 3.3 + 3.4 + 3.5)</t>
  </si>
  <si>
    <t>Número de horas - Férias</t>
  </si>
  <si>
    <t>3.1.1</t>
  </si>
  <si>
    <t>Número de dias de férias</t>
  </si>
  <si>
    <t xml:space="preserve">dias </t>
  </si>
  <si>
    <t>Número de horas - Faltas justificadas</t>
  </si>
  <si>
    <t>(3.2.1 x 2.2)</t>
  </si>
  <si>
    <t>3.2.1</t>
  </si>
  <si>
    <t>Número de dias de faltas justificadas por ano:</t>
  </si>
  <si>
    <t>Número de horas  - Auxílio enfermidade</t>
  </si>
  <si>
    <t>((2.2 x (3.3.2 - 3.3.3)) x (3.3.1 / 100)</t>
  </si>
  <si>
    <t>3.3.1</t>
  </si>
  <si>
    <t>% de funcionários que recorrem ao auxílio enfermidade:</t>
  </si>
  <si>
    <t>3.3.2</t>
  </si>
  <si>
    <t>Número de dias no auxílio enfermidade:</t>
  </si>
  <si>
    <t>Prazo concedido 15 dias - auxílo enfermidade</t>
  </si>
  <si>
    <t>3.3.3</t>
  </si>
  <si>
    <t>Número de sábados e domingos no auxílio enfermidade:</t>
  </si>
  <si>
    <t>((3.3.1 / 1.2) x 1.3))</t>
  </si>
  <si>
    <t>Número de horas - Aviso prévio</t>
  </si>
  <si>
    <t>3.4.1 x 2.2 x (3.4.3/100) x (3.4.4/100) x (3.4.2/2.4)</t>
  </si>
  <si>
    <t>3.4.1</t>
  </si>
  <si>
    <t>Dias úteis dispensado do aviso prévio trabalhado:</t>
  </si>
  <si>
    <t>(1.2 - 1.3)</t>
  </si>
  <si>
    <t>(trabalha 1 semana a menos)</t>
  </si>
  <si>
    <t>3.4.2</t>
  </si>
  <si>
    <t>Permanência média dos funcionários na empresa:</t>
  </si>
  <si>
    <t>3.4.3</t>
  </si>
  <si>
    <t>% de empregados que são demitidos:</t>
  </si>
  <si>
    <t>3.4.4</t>
  </si>
  <si>
    <t>% de empregados que cumprem o aviso prévio:</t>
  </si>
  <si>
    <t>Número de horas - Licença Paternidade</t>
  </si>
  <si>
    <t>(3.5.1 x 2.2 x (3.5.2/100) x (3.5.3/100)</t>
  </si>
  <si>
    <t>3.5.1</t>
  </si>
  <si>
    <t>Dias de licença paternidade:</t>
  </si>
  <si>
    <t>3.5.2</t>
  </si>
  <si>
    <t>% de empregados do sexo masculino:</t>
  </si>
  <si>
    <t>3.5.3</t>
  </si>
  <si>
    <t>% dos empregados que recorrem a licença:</t>
  </si>
  <si>
    <t xml:space="preserve">NÚMERO DE HORAS DE CURSOS </t>
  </si>
  <si>
    <t>THIA</t>
  </si>
  <si>
    <t>NÚMERO TOTAL DE HORAS IMPRODUTIVAS:</t>
  </si>
  <si>
    <t>(3 + 4)</t>
  </si>
  <si>
    <t>THTA</t>
  </si>
  <si>
    <t>NÚMERO TOTAL DE HORAS TRABALHADAS PELO EMPREGADO:</t>
  </si>
  <si>
    <t>(2.3 - THIA)</t>
  </si>
  <si>
    <t>THTM</t>
  </si>
  <si>
    <t>NÚMERO DE HORAS PRODUTIVAS DO CONSULTOR POR MÊS:</t>
  </si>
  <si>
    <t>horas/mês</t>
  </si>
  <si>
    <t>(THTA/2.4)</t>
  </si>
  <si>
    <t>Feriados Nacionais, Estaduais e Municipais de Belo Horizonte de 2021</t>
  </si>
  <si>
    <t>NACIONAL</t>
  </si>
  <si>
    <t>EST/MUN</t>
  </si>
  <si>
    <t>Data</t>
  </si>
  <si>
    <t>Dia da Semana</t>
  </si>
  <si>
    <t>Feriado</t>
  </si>
  <si>
    <t>sexta-feira</t>
  </si>
  <si>
    <t>Confraternização Universal</t>
  </si>
  <si>
    <t>quarta-feira</t>
  </si>
  <si>
    <t>Dia de São Sebastião (Rio de Janeiro/RJ – Feriado Municipal)</t>
  </si>
  <si>
    <t>segunda-feira</t>
  </si>
  <si>
    <t>Aniversário de São Paulo/SP (Feriado Municipal)</t>
  </si>
  <si>
    <t>Carnaval</t>
  </si>
  <si>
    <t>terça-feira</t>
  </si>
  <si>
    <t>Aniversário do Rio de Janeiro/RJ (Feriado Municipal)</t>
  </si>
  <si>
    <t>Paixão de Cristo</t>
  </si>
  <si>
    <t>Tiradentes</t>
  </si>
  <si>
    <t>Dia de São Jorge</t>
  </si>
  <si>
    <t>sábado</t>
  </si>
  <si>
    <t>Dia do Trabalho</t>
  </si>
  <si>
    <t>quinta-feira</t>
  </si>
  <si>
    <t>Corpus Christi</t>
  </si>
  <si>
    <t>Revolução Constitucionalista de 1932 (feriado estadual)</t>
  </si>
  <si>
    <t>domingo</t>
  </si>
  <si>
    <t>Assunção de Nossa Senhora - Belo Horizonte</t>
  </si>
  <si>
    <t>Independência do Brasil</t>
  </si>
  <si>
    <t>Nossa Sr.a Aparecida - Padroeira do Brasil</t>
  </si>
  <si>
    <t>Dia do Comerciário - Belo Horizonte</t>
  </si>
  <si>
    <t>Finados</t>
  </si>
  <si>
    <t>Proclamação da República</t>
  </si>
  <si>
    <t>Dia da Consciência Negra (feriado municipal)</t>
  </si>
  <si>
    <t>Nossa Senhora da Conceição - Rio de Janeiro - Belo Horizonte</t>
  </si>
  <si>
    <t>Aniversário de Belo Horizonte/MG (feriado municipal)</t>
  </si>
  <si>
    <t>Natal</t>
  </si>
  <si>
    <t>Critérios para definição da estimativa de deslocamento</t>
  </si>
  <si>
    <t>Municípios</t>
  </si>
  <si>
    <t>Estado</t>
  </si>
  <si>
    <t>Distância até Governador Valadares</t>
  </si>
  <si>
    <t xml:space="preserve">Distância média </t>
  </si>
  <si>
    <t>Tempo de visita</t>
  </si>
  <si>
    <t>Custo Automóvel</t>
  </si>
  <si>
    <t>Combustível</t>
  </si>
  <si>
    <t xml:space="preserve">Pedágio (ida e volta) </t>
  </si>
  <si>
    <t>Outros custos</t>
  </si>
  <si>
    <t>R$</t>
  </si>
  <si>
    <t>MG</t>
  </si>
  <si>
    <t>São Sebastião do Rio Preto</t>
  </si>
  <si>
    <t>Observações</t>
  </si>
  <si>
    <t xml:space="preserve">1 - </t>
  </si>
  <si>
    <t xml:space="preserve">O Custo do Automóvel se refere ao custo do item PICK UP, MOTOR A GASOLINA 67 CV (EXCLUSIVE MOTORISTA), código 65001001, unidade = Mês, </t>
  </si>
  <si>
    <t>Custo/km</t>
  </si>
  <si>
    <t xml:space="preserve">2 - </t>
  </si>
  <si>
    <t>A distância do município até Governador Valadares (Sede do CBH Doce) e a verificação de pedágios foi obtida no site https://www.mapeia.com.br/</t>
  </si>
  <si>
    <t xml:space="preserve">3 - </t>
  </si>
  <si>
    <t>Distância média:</t>
  </si>
  <si>
    <t>ida e volta + deslocamento interno</t>
  </si>
  <si>
    <t xml:space="preserve">4 - </t>
  </si>
  <si>
    <t>Deslocamento Interno</t>
  </si>
  <si>
    <t xml:space="preserve">5 - </t>
  </si>
  <si>
    <t>Consumo de combustível:</t>
  </si>
  <si>
    <t>km/l</t>
  </si>
  <si>
    <t xml:space="preserve">6 - </t>
  </si>
  <si>
    <t>Valor de combustível:</t>
  </si>
  <si>
    <t>R$/litro</t>
  </si>
  <si>
    <t xml:space="preserve">7 - </t>
  </si>
  <si>
    <t>Outros custos:</t>
  </si>
  <si>
    <t>Definição de número de horas e diárias</t>
  </si>
  <si>
    <t>Faixa de população beneficiada</t>
  </si>
  <si>
    <t>hab</t>
  </si>
  <si>
    <t>Coordenador Geral</t>
  </si>
  <si>
    <t>Engenheiro Pleno</t>
  </si>
  <si>
    <t>Engenheiro Junior</t>
  </si>
  <si>
    <t>Auxiliar de Escritório</t>
  </si>
  <si>
    <t>Advogado</t>
  </si>
  <si>
    <t>Engenheiro Elétrico</t>
  </si>
  <si>
    <t>Engenheiro Civil</t>
  </si>
  <si>
    <t>Engenheiro Ambiental</t>
  </si>
  <si>
    <t>Engenheiro Mecânico</t>
  </si>
  <si>
    <t>Diária</t>
  </si>
  <si>
    <t>Refeição</t>
  </si>
  <si>
    <t>Critérios para definição dos serviços técnicos - topografia</t>
  </si>
  <si>
    <t>Comprimento das redes</t>
  </si>
  <si>
    <t>Quantidade</t>
  </si>
  <si>
    <t>Equipe de Campo</t>
  </si>
  <si>
    <t>Critérios para definição dos serviços técnicos - Cadastro Técnico</t>
  </si>
  <si>
    <t xml:space="preserve">Data: </t>
  </si>
  <si>
    <t>Serviços</t>
  </si>
  <si>
    <t>Rendimento Médio</t>
  </si>
  <si>
    <t>Dias de campo estimado</t>
  </si>
  <si>
    <t>Total de dias</t>
  </si>
  <si>
    <t>Equipe de Topografia de Campo</t>
  </si>
  <si>
    <t>Cadastro de rede coletora de esgoto</t>
  </si>
  <si>
    <t>km/dia</t>
  </si>
  <si>
    <t>Cadastro de ramais prediais</t>
  </si>
  <si>
    <t>ramais/dia</t>
  </si>
  <si>
    <t>Cadastro de Poços de Visitas</t>
  </si>
  <si>
    <t>PV/dia</t>
  </si>
  <si>
    <t>Adotou-se o número mínimo de 5 dias para o cadastro técnico, conforme adotado para a topografia de projeto.</t>
  </si>
  <si>
    <t>Definição das despesas diretas para elaboração de projetos</t>
  </si>
  <si>
    <t>População beneficiada</t>
  </si>
  <si>
    <t>1 - 10.000</t>
  </si>
  <si>
    <t>10.001 - 25.000</t>
  </si>
  <si>
    <t>25.001 - 50.000</t>
  </si>
  <si>
    <t>50.000 - 100.000</t>
  </si>
  <si>
    <t>Número de horas trabalhadas</t>
  </si>
  <si>
    <t>ETAPA</t>
  </si>
  <si>
    <t>TOTAL
(horas)</t>
  </si>
  <si>
    <t xml:space="preserve">*% das horas totais por produto </t>
  </si>
  <si>
    <t>PRODUTO</t>
  </si>
  <si>
    <t>Plano de Trabalho</t>
  </si>
  <si>
    <t>Estudos Topográficos</t>
  </si>
  <si>
    <t xml:space="preserve">Cadastro Técnico </t>
  </si>
  <si>
    <t>Estudo de Concepção</t>
  </si>
  <si>
    <t>Projeto Básico</t>
  </si>
  <si>
    <t>Estudos Geotécnicos</t>
  </si>
  <si>
    <t>Estudo Ambiental</t>
  </si>
  <si>
    <t>Projeto Executivo</t>
  </si>
  <si>
    <t>EC</t>
  </si>
  <si>
    <t>PB</t>
  </si>
  <si>
    <t>EA</t>
  </si>
  <si>
    <t>PE</t>
  </si>
  <si>
    <t>EQUIPE TÉCNICA DE CONSULTORES</t>
  </si>
  <si>
    <t>Engenheiro elétrico</t>
  </si>
  <si>
    <t>Técnico em Geoprocessamento</t>
  </si>
  <si>
    <t>Serviços contratados</t>
  </si>
  <si>
    <t>TOTAL</t>
  </si>
  <si>
    <t>Cadastro Técnico</t>
  </si>
  <si>
    <t>SERVIÇOS DE SONDAGEM</t>
  </si>
  <si>
    <t>*% dos quantitativos totais por produto</t>
  </si>
  <si>
    <t>OUTRAS</t>
  </si>
  <si>
    <t>Produto 1:</t>
  </si>
  <si>
    <t>Item</t>
  </si>
  <si>
    <t>Órgão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</si>
  <si>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</si>
  <si>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</si>
  <si>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</si>
  <si>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</si>
  <si>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</si>
  <si>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</si>
  <si>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EQUIPE TÉCNICA</t>
  </si>
  <si>
    <t>4.</t>
  </si>
  <si>
    <t>DESPESAS DIVERSAS</t>
  </si>
  <si>
    <t>VALOR TOTAL - Inclusos K's</t>
  </si>
  <si>
    <t>Observações:</t>
  </si>
  <si>
    <t>1-</t>
  </si>
  <si>
    <t>2-</t>
  </si>
  <si>
    <t>A remuneração horária é determinada dividindo-se o valor da remuneração mensal pela carga horária efetivamente trabalhada.</t>
  </si>
  <si>
    <t>3-</t>
  </si>
  <si>
    <t>No valor do veículo já estão inclusos os valores de locação, gasolina, manutenção e pedágio.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</si>
  <si>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</si>
  <si>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</si>
  <si>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</si>
  <si>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</si>
  <si>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</si>
  <si>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</si>
  <si>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</si>
  <si>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</si>
  <si>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CADASTRO TÉCNICO DE REDES DE ESGOTAMENTO SANITÁRIO</t>
  </si>
  <si>
    <t>Cronograma físico-financeiro</t>
  </si>
  <si>
    <t xml:space="preserve">CRONOGRAMA </t>
  </si>
  <si>
    <t>ETAPA PRODUTO</t>
  </si>
  <si>
    <t>Repasse</t>
  </si>
  <si>
    <t>Percentual</t>
  </si>
  <si>
    <t>MÊS</t>
  </si>
  <si>
    <t>Emissão da Ordem de Serviço</t>
  </si>
  <si>
    <t>Correção e entrega versão final do produto</t>
  </si>
  <si>
    <t>Período para pagamento</t>
  </si>
  <si>
    <t>Custo por produto</t>
  </si>
  <si>
    <t>PERCENTUAL</t>
  </si>
  <si>
    <t>COLUNA 39 – CONSULTORIA (SUPERVISÃO E PROJETOS)</t>
  </si>
  <si>
    <t>Custo nacional da construção civil e obras públicas apurado pela Fundação Getúlio Vargas (FGV)</t>
  </si>
  <si>
    <t>Base: Dez/2020 = 98</t>
  </si>
  <si>
    <t>Mês/ano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</si>
  <si>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</si>
  <si>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</si>
  <si>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</si>
  <si>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</si>
  <si>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</si>
  <si>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</si>
  <si>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</si>
  <si>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</si>
  <si>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</si>
  <si>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</si>
  <si>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</si>
  <si>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</si>
  <si>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TIPO</t>
  </si>
  <si>
    <t>Índice</t>
  </si>
  <si>
    <t xml:space="preserve">Consultor </t>
  </si>
  <si>
    <t>Índice FGV</t>
  </si>
  <si>
    <t>HORAS</t>
  </si>
  <si>
    <t>dez/2022</t>
  </si>
  <si>
    <t>Mai/2023</t>
  </si>
  <si>
    <t>Banco de Preços de Serviços da COPASA - BASE NORDESTE, data-base: Dez/2022. Disponível em: https://wwwapp.copasa.com.br/servicos/RDC/Rdc/BancoDePrecos</t>
  </si>
  <si>
    <t>b) Valor em vigor adotado pela AGEVAP na concessão do benefício a seus empregados</t>
  </si>
  <si>
    <t>Custo/mês - Mai23</t>
  </si>
  <si>
    <t>Custo/mês - Dez22</t>
  </si>
  <si>
    <r>
      <t xml:space="preserve">do banco de preços da Copasa, data = </t>
    </r>
    <r>
      <rPr>
        <b/>
        <sz val="9"/>
        <rFont val="Calibri Light"/>
        <family val="2"/>
      </rPr>
      <t>Dez/2022</t>
    </r>
    <r>
      <rPr>
        <sz val="9"/>
        <rFont val="Calibri Light"/>
        <family val="2"/>
      </rPr>
      <t>, acessado em: https://wwwapp.copasa.com.br/servicos/RDC/Rdc/BancoDePrecos</t>
    </r>
  </si>
  <si>
    <t>R$/dia - média</t>
  </si>
  <si>
    <t>(manutenção, troca de óleo e outros)</t>
  </si>
  <si>
    <t>R$/dia</t>
  </si>
  <si>
    <t xml:space="preserve">Análise da versão final do produto </t>
  </si>
  <si>
    <t>Elaboração do produto e entrega da minuta</t>
  </si>
  <si>
    <t xml:space="preserve">Análise e revisão do produto </t>
  </si>
  <si>
    <t>Diretor Presidente</t>
  </si>
  <si>
    <t xml:space="preserve">*Adotou-se o valor de 80m como distância entre Poços de Visita (PVs) adotada, considerando que a SABESP recomenda que esta seja a distância máxima adotada para elaborar projetos de Sistema de Esgotamento Sanitário, devido aos equipamentos de manutenção. (Norma Técnica SABESP NTS 25/2020) 
</t>
  </si>
  <si>
    <t>SNIS 2022</t>
  </si>
  <si>
    <t>IBGE 2022</t>
  </si>
  <si>
    <t>IBGE - Censo 2022</t>
  </si>
  <si>
    <t>Referência: https://precos.petrobras.com.br/, data de consulta:</t>
  </si>
  <si>
    <t>Alex Cardoso Pereira</t>
  </si>
  <si>
    <t>Adriano Ferreira Batista</t>
  </si>
  <si>
    <t>Técnico Pleno - Escola de Projetos</t>
  </si>
  <si>
    <t>AGEDOCE</t>
  </si>
  <si>
    <t xml:space="preserve">Gilberth de Paula Ferrari </t>
  </si>
  <si>
    <t>Assessor</t>
  </si>
  <si>
    <t>abr/2023</t>
  </si>
  <si>
    <t>P8001</t>
  </si>
  <si>
    <t>Advogado júnior</t>
  </si>
  <si>
    <t>P8002</t>
  </si>
  <si>
    <t>Advogado pleno</t>
  </si>
  <si>
    <t>P8007</t>
  </si>
  <si>
    <t>Analista de desenvolvimento de sistemas júnior</t>
  </si>
  <si>
    <t>P8008</t>
  </si>
  <si>
    <t>Analista de desenvolvimento de sistemas pleno</t>
  </si>
  <si>
    <t>P8009</t>
  </si>
  <si>
    <t>Analista de desenvolvimento de sistemas sênior</t>
  </si>
  <si>
    <t>P8013</t>
  </si>
  <si>
    <t>Arquiteto júnior</t>
  </si>
  <si>
    <t>P8014</t>
  </si>
  <si>
    <t>Arquiteto pleno</t>
  </si>
  <si>
    <t>P8015</t>
  </si>
  <si>
    <t>Arquiteto sênior</t>
  </si>
  <si>
    <t>P8019</t>
  </si>
  <si>
    <t>Assistente social júnior</t>
  </si>
  <si>
    <t>P8020</t>
  </si>
  <si>
    <t>Assistente social pleno</t>
  </si>
  <si>
    <t>P8021</t>
  </si>
  <si>
    <t>Assistente social sênior</t>
  </si>
  <si>
    <t>P8025</t>
  </si>
  <si>
    <t>Auxiliar</t>
  </si>
  <si>
    <t>Auxiliar administrativo</t>
  </si>
  <si>
    <t>P8027</t>
  </si>
  <si>
    <t>Auxiliar de laboratório</t>
  </si>
  <si>
    <t>P8028</t>
  </si>
  <si>
    <t>Auxiliar de topografia</t>
  </si>
  <si>
    <t>P8032</t>
  </si>
  <si>
    <t>Biólogo júnior</t>
  </si>
  <si>
    <t>P8033</t>
  </si>
  <si>
    <t>Biólogo pleno</t>
  </si>
  <si>
    <t>P8034</t>
  </si>
  <si>
    <t>Biólogo sênior</t>
  </si>
  <si>
    <t>P8038</t>
  </si>
  <si>
    <t>Chefe de escritório</t>
  </si>
  <si>
    <t>P8040</t>
  </si>
  <si>
    <t>Contador júnior</t>
  </si>
  <si>
    <t>P8041</t>
  </si>
  <si>
    <t>Contador pleno</t>
  </si>
  <si>
    <t>P8042</t>
  </si>
  <si>
    <t>Contador sênior</t>
  </si>
  <si>
    <t>P8044</t>
  </si>
  <si>
    <t xml:space="preserve">Coordenador ambiental </t>
  </si>
  <si>
    <t>P8045</t>
  </si>
  <si>
    <t>Economista júnior</t>
  </si>
  <si>
    <t>P8046</t>
  </si>
  <si>
    <t>Economista pleno</t>
  </si>
  <si>
    <t>P8047</t>
  </si>
  <si>
    <t>Economista sênior</t>
  </si>
  <si>
    <t>P8054</t>
  </si>
  <si>
    <t>Engenheiro agrônomo júnior</t>
  </si>
  <si>
    <t>P8055</t>
  </si>
  <si>
    <t>Engenheiro agrônomo pleno</t>
  </si>
  <si>
    <t>P8056</t>
  </si>
  <si>
    <t>Engenheiro agrônomo sênior</t>
  </si>
  <si>
    <t>P8057</t>
  </si>
  <si>
    <t>Engenheiro ambiental júnior</t>
  </si>
  <si>
    <t>P8058</t>
  </si>
  <si>
    <t>Engenheiro ambiental pleno</t>
  </si>
  <si>
    <t>Engenheiro ambiental sênior</t>
  </si>
  <si>
    <t>P8060</t>
  </si>
  <si>
    <t>Engenheiro consultor especial</t>
  </si>
  <si>
    <t>Engenheiro coordenador</t>
  </si>
  <si>
    <t>P8062</t>
  </si>
  <si>
    <t>Engenheiro de pesca júnior</t>
  </si>
  <si>
    <t>P8063</t>
  </si>
  <si>
    <t>Engenheiro de pesca pleno</t>
  </si>
  <si>
    <t>P8064</t>
  </si>
  <si>
    <t>Engenheiro de pesca sênior</t>
  </si>
  <si>
    <t>Engenheiro de projetos júnior</t>
  </si>
  <si>
    <t>Engenheiro de projetos pleno</t>
  </si>
  <si>
    <t>Engenheiro de projetos sênior</t>
  </si>
  <si>
    <t>P8068</t>
  </si>
  <si>
    <t>Engenheiro florestal júnior</t>
  </si>
  <si>
    <t>P8069</t>
  </si>
  <si>
    <t>Engenheiro florestal pleno</t>
  </si>
  <si>
    <t>P8070</t>
  </si>
  <si>
    <t>Engenheiro florestal sênior</t>
  </si>
  <si>
    <t>P8080</t>
  </si>
  <si>
    <t>Geólogo júnior</t>
  </si>
  <si>
    <t>P8081</t>
  </si>
  <si>
    <t>Geólogo pleno</t>
  </si>
  <si>
    <t>P8082</t>
  </si>
  <si>
    <t>Geólogo sênior</t>
  </si>
  <si>
    <t>P8092</t>
  </si>
  <si>
    <t>Jornalista júnior</t>
  </si>
  <si>
    <t>P8093</t>
  </si>
  <si>
    <t>Jornalista pleno</t>
  </si>
  <si>
    <t>P8094</t>
  </si>
  <si>
    <t>Jornalista sênior</t>
  </si>
  <si>
    <t>P8098</t>
  </si>
  <si>
    <t>Laboratorista</t>
  </si>
  <si>
    <t>P8102</t>
  </si>
  <si>
    <t>Médico veterinário</t>
  </si>
  <si>
    <t>P8106</t>
  </si>
  <si>
    <t>Meteorologista júnior</t>
  </si>
  <si>
    <t>P8107</t>
  </si>
  <si>
    <t>Meteorologista pleno</t>
  </si>
  <si>
    <t>P8108</t>
  </si>
  <si>
    <t>Meteorologista sênior</t>
  </si>
  <si>
    <t>P8112</t>
  </si>
  <si>
    <t>Motorista de caminhão</t>
  </si>
  <si>
    <t>P8113</t>
  </si>
  <si>
    <t>Motorista de veículo leve</t>
  </si>
  <si>
    <t>P8117</t>
  </si>
  <si>
    <t>Oceanógrafo júnior</t>
  </si>
  <si>
    <t>P8118</t>
  </si>
  <si>
    <t>Oceanógrafo pleno</t>
  </si>
  <si>
    <t>P8119</t>
  </si>
  <si>
    <t>Oceanógrafo sênior</t>
  </si>
  <si>
    <t>P8129</t>
  </si>
  <si>
    <t>Pedagogo júnior</t>
  </si>
  <si>
    <t>P8130</t>
  </si>
  <si>
    <t>Pedagogo pleno</t>
  </si>
  <si>
    <t>P8131</t>
  </si>
  <si>
    <t>Pedagogo sênior</t>
  </si>
  <si>
    <t>P8135</t>
  </si>
  <si>
    <t>Secretária</t>
  </si>
  <si>
    <t>P8139</t>
  </si>
  <si>
    <t>Sondador</t>
  </si>
  <si>
    <t>P8143</t>
  </si>
  <si>
    <t>Técnico ambiental</t>
  </si>
  <si>
    <t>P8147</t>
  </si>
  <si>
    <t>Técnico de obras</t>
  </si>
  <si>
    <t>P8151</t>
  </si>
  <si>
    <t>Técnico de segurança do trabalho</t>
  </si>
  <si>
    <t>P8159</t>
  </si>
  <si>
    <t>Técnico em informática - programador</t>
  </si>
  <si>
    <t>P8163</t>
  </si>
  <si>
    <t>Topógrafo</t>
  </si>
  <si>
    <t>P8167</t>
  </si>
  <si>
    <t>Arquivista júnior</t>
  </si>
  <si>
    <t>P8168</t>
  </si>
  <si>
    <t>Arquivista pleno</t>
  </si>
  <si>
    <t>P8169</t>
  </si>
  <si>
    <t>Arquivista sênior</t>
  </si>
  <si>
    <t>P8173</t>
  </si>
  <si>
    <t>Administrador júnior</t>
  </si>
  <si>
    <t>P8174</t>
  </si>
  <si>
    <t>Administrador pleno</t>
  </si>
  <si>
    <t>P8175</t>
  </si>
  <si>
    <t>Administrador sênior</t>
  </si>
  <si>
    <t>P8180</t>
  </si>
  <si>
    <t>Engenheiro agrimensor júnior</t>
  </si>
  <si>
    <t>P8181</t>
  </si>
  <si>
    <t>Engenheiro agrimensor pleno</t>
  </si>
  <si>
    <t>P8182</t>
  </si>
  <si>
    <t>Engenheiro agrimensor sênior</t>
  </si>
  <si>
    <t>P8183</t>
  </si>
  <si>
    <t>Geógrafo júnior</t>
  </si>
  <si>
    <t>P8184</t>
  </si>
  <si>
    <t>Geógrafo pleno</t>
  </si>
  <si>
    <t>P8185</t>
  </si>
  <si>
    <t>Geógrafo sênior</t>
  </si>
  <si>
    <t>P8186</t>
  </si>
  <si>
    <t>Antropólogo júnior</t>
  </si>
  <si>
    <t>P8187</t>
  </si>
  <si>
    <t>Antropólogo pleno</t>
  </si>
  <si>
    <t>P8188</t>
  </si>
  <si>
    <t>Antropólogo sênior</t>
  </si>
  <si>
    <t>P8189</t>
  </si>
  <si>
    <t>Arqueólogo júnior</t>
  </si>
  <si>
    <t>P8190</t>
  </si>
  <si>
    <t>Arqueólogo pleno</t>
  </si>
  <si>
    <t>P8191</t>
  </si>
  <si>
    <t>Arqueólogo sênior</t>
  </si>
  <si>
    <t>P8192</t>
  </si>
  <si>
    <t>Historiador júnior</t>
  </si>
  <si>
    <t>P8193</t>
  </si>
  <si>
    <t>Historiador pleno</t>
  </si>
  <si>
    <t>P8194</t>
  </si>
  <si>
    <t>Historiador sênior</t>
  </si>
  <si>
    <t>P8195</t>
  </si>
  <si>
    <t>Paleontólogo júnior</t>
  </si>
  <si>
    <t>P8196</t>
  </si>
  <si>
    <t>Paleontólogo pleno</t>
  </si>
  <si>
    <t>P8197</t>
  </si>
  <si>
    <t>Paleontólogo sênior</t>
  </si>
  <si>
    <t>P8198</t>
  </si>
  <si>
    <t>Sociólogo júnior</t>
  </si>
  <si>
    <t>P8199</t>
  </si>
  <si>
    <t>Sociólogo pleno</t>
  </si>
  <si>
    <t>P8200</t>
  </si>
  <si>
    <t>Sociólogo sênior</t>
  </si>
  <si>
    <t>Corrigido Jul/23</t>
  </si>
  <si>
    <t>Tabela 01 - Consolidação dos custos de mão de obra da engenharia consultiva, Relatório de Consolidação de Mão de Obra - DNIT, data-base: abr/2023.</t>
  </si>
  <si>
    <t>c) Valor em vigor adotado pela AGEVAP na concessão do benefício a seus empregados já descontado o valor referente a refeição, considerando a normativa interna nº 1634/2021/AGEVAP.</t>
  </si>
  <si>
    <t>* Valor adotado conforme Portaria nº 363/2021 da Agência Nacional de Águas e Saneamento Básico
** Valor adotado conforme constante no  Lei Complementar nº 442/2005 do município de São Sebastião do Rio Preto, que institui o Código Tributário do Município.</t>
  </si>
  <si>
    <t xml:space="preserve">André Luis de Paula Marques </t>
  </si>
  <si>
    <t>Dias trabalhados - 2023</t>
  </si>
  <si>
    <t>Finalização contratual interna</t>
  </si>
  <si>
    <t>Finalização Contratual</t>
  </si>
  <si>
    <t>Técnico Cadista</t>
  </si>
  <si>
    <t>Auxiliar de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</si>
</sst>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0.0"/>
    <numFmt numFmtId="169" formatCode="#,##0.000"/>
    <numFmt numFmtId="170" formatCode="0.0%"/>
    <numFmt numFmtId="171" formatCode="0.000"/>
    <numFmt numFmtId="172" formatCode="0.000%"/>
    <numFmt numFmtId="173" formatCode="0.000000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11"/>
      <color theme="0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sz val="8"/>
      <color theme="0" tint="-0.249977111117893"/>
      <name val="Calibri Light"/>
      <family val="2"/>
    </font>
    <font>
      <sz val="8"/>
      <name val="Calibri Light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9"/>
      <name val="Calibri Light"/>
      <family val="2"/>
    </font>
    <font>
      <sz val="11"/>
      <name val="Calibri Light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Calibri Light"/>
      <family val="2"/>
    </font>
    <font>
      <sz val="8"/>
      <color theme="0" tint="-0.14999847407452621"/>
      <name val="Calibri"/>
      <family val="2"/>
      <scheme val="minor"/>
    </font>
    <font>
      <sz val="10"/>
      <name val="Arial"/>
      <family val="2"/>
    </font>
    <font>
      <b/>
      <sz val="12"/>
      <color rgb="FF4A4A4A"/>
      <name val="Calibri"/>
      <family val="2"/>
      <scheme val="minor"/>
    </font>
    <font>
      <b/>
      <sz val="12"/>
      <color rgb="FFFFFFFF"/>
      <name val="Frutiger Black"/>
    </font>
    <font>
      <sz val="12"/>
      <color rgb="FF205740"/>
      <name val="Frutiger Black"/>
    </font>
    <font>
      <sz val="12"/>
      <color rgb="FF4A4A4A"/>
      <name val="Frutiger Light"/>
    </font>
    <font>
      <sz val="10"/>
      <color theme="0"/>
      <name val="Calibri "/>
    </font>
    <font>
      <b/>
      <sz val="9"/>
      <name val="Calibri Light"/>
      <family val="2"/>
    </font>
    <font>
      <sz val="10"/>
      <color rgb="FFFF0000"/>
      <name val="Calibri Light"/>
      <family val="2"/>
    </font>
    <font>
      <i/>
      <sz val="10"/>
      <color rgb="FFFF0000"/>
      <name val="Calibri Light"/>
      <family val="2"/>
    </font>
    <font>
      <sz val="12"/>
      <color rgb="FFFF0000"/>
      <name val="Calibri Light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</borders>
  <cellStyleXfs count="8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80" fillId="0" borderId="0" applyFont="0" applyFill="0" applyBorder="0" applyAlignment="0" applyProtection="0"/>
  </cellStyleXfs>
  <cellXfs count="742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9" fillId="0" borderId="31" xfId="0" applyFont="1" applyBorder="1" applyAlignment="1">
      <alignment horizontal="center"/>
    </xf>
    <xf numFmtId="0" fontId="39" fillId="0" borderId="31" xfId="0" applyFont="1" applyBorder="1" applyAlignment="1">
      <alignment horizontal="center" vertical="center" wrapText="1"/>
    </xf>
    <xf numFmtId="14" fontId="40" fillId="0" borderId="31" xfId="45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0" fontId="43" fillId="0" borderId="0" xfId="49" applyFont="1" applyAlignment="1">
      <alignment horizontal="center" vertical="center"/>
    </xf>
    <xf numFmtId="3" fontId="43" fillId="0" borderId="0" xfId="49" applyNumberFormat="1" applyFont="1" applyAlignment="1">
      <alignment horizontal="center" vertical="center"/>
    </xf>
    <xf numFmtId="3" fontId="43" fillId="0" borderId="0" xfId="49" applyNumberFormat="1" applyFont="1" applyAlignment="1">
      <alignment horizontal="left" vertical="center"/>
    </xf>
    <xf numFmtId="0" fontId="43" fillId="0" borderId="0" xfId="49" applyFont="1" applyAlignment="1">
      <alignment horizontal="left" vertical="center"/>
    </xf>
    <xf numFmtId="10" fontId="43" fillId="0" borderId="0" xfId="50" applyNumberFormat="1" applyFont="1" applyAlignment="1">
      <alignment horizontal="center" vertical="center"/>
    </xf>
    <xf numFmtId="3" fontId="40" fillId="0" borderId="0" xfId="49" applyNumberFormat="1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3" fontId="37" fillId="38" borderId="38" xfId="49" applyNumberFormat="1" applyFont="1" applyFill="1" applyBorder="1" applyAlignment="1">
      <alignment horizontal="center" vertical="center"/>
    </xf>
    <xf numFmtId="3" fontId="43" fillId="35" borderId="35" xfId="49" applyNumberFormat="1" applyFont="1" applyFill="1" applyBorder="1" applyAlignment="1">
      <alignment horizontal="center" vertical="center"/>
    </xf>
    <xf numFmtId="4" fontId="43" fillId="40" borderId="35" xfId="49" applyNumberFormat="1" applyFont="1" applyFill="1" applyBorder="1" applyAlignment="1">
      <alignment horizontal="center" vertical="center"/>
    </xf>
    <xf numFmtId="3" fontId="43" fillId="40" borderId="35" xfId="49" applyNumberFormat="1" applyFont="1" applyFill="1" applyBorder="1" applyAlignment="1">
      <alignment horizontal="center" vertical="center"/>
    </xf>
    <xf numFmtId="4" fontId="38" fillId="40" borderId="35" xfId="49" applyNumberFormat="1" applyFont="1" applyFill="1" applyBorder="1" applyAlignment="1">
      <alignment horizontal="center" vertical="center"/>
    </xf>
    <xf numFmtId="3" fontId="38" fillId="40" borderId="35" xfId="49" applyNumberFormat="1" applyFont="1" applyFill="1" applyBorder="1" applyAlignment="1">
      <alignment horizontal="center" vertical="center"/>
    </xf>
    <xf numFmtId="4" fontId="37" fillId="38" borderId="40" xfId="49" applyNumberFormat="1" applyFont="1" applyFill="1" applyBorder="1" applyAlignment="1">
      <alignment horizontal="center" vertical="center"/>
    </xf>
    <xf numFmtId="4" fontId="43" fillId="40" borderId="39" xfId="49" applyNumberFormat="1" applyFont="1" applyFill="1" applyBorder="1" applyAlignment="1">
      <alignment horizontal="center" vertical="center"/>
    </xf>
    <xf numFmtId="3" fontId="43" fillId="35" borderId="39" xfId="49" applyNumberFormat="1" applyFont="1" applyFill="1" applyBorder="1" applyAlignment="1">
      <alignment horizontal="center" vertical="center"/>
    </xf>
    <xf numFmtId="14" fontId="40" fillId="0" borderId="31" xfId="45" applyNumberFormat="1" applyFont="1" applyBorder="1" applyAlignment="1">
      <alignment horizontal="left" vertical="center"/>
    </xf>
    <xf numFmtId="0" fontId="40" fillId="34" borderId="0" xfId="51" applyFont="1" applyFill="1"/>
    <xf numFmtId="0" fontId="40" fillId="37" borderId="0" xfId="49" applyFont="1" applyFill="1"/>
    <xf numFmtId="0" fontId="40" fillId="0" borderId="0" xfId="49" applyFont="1"/>
    <xf numFmtId="0" fontId="39" fillId="0" borderId="34" xfId="0" applyFont="1" applyBorder="1" applyAlignment="1">
      <alignment horizontal="center"/>
    </xf>
    <xf numFmtId="0" fontId="40" fillId="0" borderId="31" xfId="45" applyFont="1" applyBorder="1" applyAlignment="1">
      <alignment horizontal="justify" vertical="top" wrapText="1"/>
    </xf>
    <xf numFmtId="0" fontId="39" fillId="0" borderId="34" xfId="45" applyFont="1" applyBorder="1" applyAlignment="1">
      <alignment horizontal="left" vertical="center"/>
    </xf>
    <xf numFmtId="0" fontId="39" fillId="0" borderId="0" xfId="49" applyFont="1" applyAlignment="1">
      <alignment horizontal="center" vertical="center"/>
    </xf>
    <xf numFmtId="0" fontId="39" fillId="0" borderId="0" xfId="49" applyFont="1" applyAlignment="1">
      <alignment vertical="center"/>
    </xf>
    <xf numFmtId="14" fontId="39" fillId="0" borderId="0" xfId="49" applyNumberFormat="1" applyFont="1" applyAlignment="1">
      <alignment horizontal="center" vertical="center"/>
    </xf>
    <xf numFmtId="0" fontId="39" fillId="0" borderId="32" xfId="49" applyFont="1" applyBorder="1" applyAlignment="1">
      <alignment horizontal="center" vertical="center"/>
    </xf>
    <xf numFmtId="0" fontId="40" fillId="0" borderId="32" xfId="49" applyFont="1" applyBorder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9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39" fillId="0" borderId="0" xfId="45" applyFont="1" applyAlignment="1">
      <alignment vertical="center" wrapText="1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1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vertical="center"/>
    </xf>
    <xf numFmtId="0" fontId="45" fillId="0" borderId="0" xfId="45" applyFont="1"/>
    <xf numFmtId="0" fontId="45" fillId="0" borderId="0" xfId="45" applyFont="1" applyAlignment="1">
      <alignment horizontal="right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3" fontId="44" fillId="34" borderId="0" xfId="48" applyNumberFormat="1" applyFont="1" applyFill="1" applyAlignment="1">
      <alignment horizontal="center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8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5" fillId="0" borderId="0" xfId="45" applyFont="1" applyAlignment="1">
      <alignment horizontal="center"/>
    </xf>
    <xf numFmtId="0" fontId="40" fillId="0" borderId="0" xfId="49" applyFont="1" applyAlignment="1">
      <alignment vertical="center"/>
    </xf>
    <xf numFmtId="0" fontId="39" fillId="0" borderId="34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31" xfId="45" applyFont="1" applyBorder="1" applyAlignment="1">
      <alignment horizontal="justify" vertical="center" wrapText="1"/>
    </xf>
    <xf numFmtId="0" fontId="40" fillId="0" borderId="31" xfId="45" applyFont="1" applyBorder="1" applyAlignment="1">
      <alignment vertical="center"/>
    </xf>
    <xf numFmtId="0" fontId="40" fillId="0" borderId="32" xfId="49" applyFont="1" applyBorder="1" applyAlignment="1">
      <alignment vertical="center"/>
    </xf>
    <xf numFmtId="10" fontId="52" fillId="34" borderId="0" xfId="46" applyNumberFormat="1" applyFont="1" applyFill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10" fontId="53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6" fillId="0" borderId="0" xfId="0" applyFont="1"/>
    <xf numFmtId="0" fontId="56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42" xfId="51" applyFont="1" applyFill="1" applyBorder="1" applyAlignment="1">
      <alignment vertical="center"/>
    </xf>
    <xf numFmtId="0" fontId="43" fillId="34" borderId="42" xfId="51" applyFont="1" applyFill="1" applyBorder="1" applyAlignment="1">
      <alignment horizontal="center" vertical="center"/>
    </xf>
    <xf numFmtId="0" fontId="43" fillId="34" borderId="42" xfId="51" applyFont="1" applyFill="1" applyBorder="1" applyAlignment="1">
      <alignment horizontal="left" vertical="center"/>
    </xf>
    <xf numFmtId="4" fontId="43" fillId="34" borderId="42" xfId="36" applyNumberFormat="1" applyFont="1" applyFill="1" applyBorder="1" applyAlignment="1">
      <alignment horizontal="center" vertical="center"/>
    </xf>
    <xf numFmtId="0" fontId="38" fillId="34" borderId="42" xfId="49" applyFont="1" applyFill="1" applyBorder="1" applyAlignment="1">
      <alignment horizontal="left" vertical="center"/>
    </xf>
    <xf numFmtId="0" fontId="43" fillId="34" borderId="42" xfId="49" applyFont="1" applyFill="1" applyBorder="1" applyAlignment="1">
      <alignment horizontal="center" vertical="center"/>
    </xf>
    <xf numFmtId="0" fontId="43" fillId="34" borderId="42" xfId="49" applyFont="1" applyFill="1" applyBorder="1" applyAlignment="1">
      <alignment horizontal="left" vertical="center"/>
    </xf>
    <xf numFmtId="0" fontId="38" fillId="34" borderId="42" xfId="49" applyFont="1" applyFill="1" applyBorder="1" applyAlignment="1">
      <alignment horizontal="center" vertical="center"/>
    </xf>
    <xf numFmtId="0" fontId="43" fillId="34" borderId="42" xfId="49" applyFont="1" applyFill="1" applyBorder="1" applyAlignment="1">
      <alignment horizontal="right" vertical="center"/>
    </xf>
    <xf numFmtId="3" fontId="43" fillId="34" borderId="42" xfId="49" applyNumberFormat="1" applyFont="1" applyFill="1" applyBorder="1" applyAlignment="1">
      <alignment vertical="center"/>
    </xf>
    <xf numFmtId="3" fontId="48" fillId="34" borderId="42" xfId="49" applyNumberFormat="1" applyFont="1" applyFill="1" applyBorder="1" applyAlignment="1">
      <alignment horizontal="left" vertical="center"/>
    </xf>
    <xf numFmtId="3" fontId="43" fillId="34" borderId="42" xfId="49" applyNumberFormat="1" applyFont="1" applyFill="1" applyBorder="1" applyAlignment="1">
      <alignment horizontal="left" vertical="center"/>
    </xf>
    <xf numFmtId="0" fontId="48" fillId="34" borderId="42" xfId="49" applyFont="1" applyFill="1" applyBorder="1" applyAlignment="1">
      <alignment horizontal="left" vertical="center"/>
    </xf>
    <xf numFmtId="0" fontId="43" fillId="34" borderId="42" xfId="49" applyFont="1" applyFill="1" applyBorder="1" applyAlignment="1">
      <alignment vertical="center" wrapText="1"/>
    </xf>
    <xf numFmtId="0" fontId="48" fillId="34" borderId="42" xfId="49" applyFont="1" applyFill="1" applyBorder="1" applyAlignment="1">
      <alignment horizontal="left" vertical="center" wrapText="1"/>
    </xf>
    <xf numFmtId="3" fontId="38" fillId="34" borderId="42" xfId="49" applyNumberFormat="1" applyFont="1" applyFill="1" applyBorder="1" applyAlignment="1">
      <alignment vertical="center"/>
    </xf>
    <xf numFmtId="3" fontId="38" fillId="34" borderId="42" xfId="49" applyNumberFormat="1" applyFont="1" applyFill="1" applyBorder="1" applyAlignment="1">
      <alignment horizontal="left" vertical="center"/>
    </xf>
    <xf numFmtId="0" fontId="43" fillId="34" borderId="42" xfId="45" applyFont="1" applyFill="1" applyBorder="1" applyAlignment="1">
      <alignment horizontal="left" vertical="center"/>
    </xf>
    <xf numFmtId="0" fontId="43" fillId="34" borderId="42" xfId="45" applyFont="1" applyFill="1" applyBorder="1" applyAlignment="1">
      <alignment horizontal="right"/>
    </xf>
    <xf numFmtId="43" fontId="43" fillId="34" borderId="42" xfId="47" applyNumberFormat="1" applyFont="1" applyFill="1" applyBorder="1" applyAlignment="1">
      <alignment horizontal="left" vertical="center"/>
    </xf>
    <xf numFmtId="4" fontId="43" fillId="34" borderId="42" xfId="45" applyNumberFormat="1" applyFont="1" applyFill="1" applyBorder="1" applyAlignment="1">
      <alignment vertical="center"/>
    </xf>
    <xf numFmtId="10" fontId="43" fillId="34" borderId="42" xfId="46" applyNumberFormat="1" applyFont="1" applyFill="1" applyBorder="1" applyAlignment="1">
      <alignment vertical="center"/>
    </xf>
    <xf numFmtId="0" fontId="43" fillId="34" borderId="42" xfId="45" applyFont="1" applyFill="1" applyBorder="1" applyAlignment="1">
      <alignment vertical="center"/>
    </xf>
    <xf numFmtId="0" fontId="50" fillId="34" borderId="42" xfId="45" applyFont="1" applyFill="1" applyBorder="1" applyAlignment="1">
      <alignment horizontal="left" vertical="center"/>
    </xf>
    <xf numFmtId="10" fontId="43" fillId="34" borderId="42" xfId="46" applyNumberFormat="1" applyFont="1" applyFill="1" applyBorder="1" applyAlignment="1">
      <alignment horizontal="left" vertical="center"/>
    </xf>
    <xf numFmtId="43" fontId="43" fillId="34" borderId="42" xfId="47" applyNumberFormat="1" applyFont="1" applyFill="1" applyBorder="1" applyAlignment="1">
      <alignment vertical="center"/>
    </xf>
    <xf numFmtId="3" fontId="43" fillId="34" borderId="42" xfId="51" applyNumberFormat="1" applyFont="1" applyFill="1" applyBorder="1" applyAlignment="1">
      <alignment horizontal="center" vertical="center"/>
    </xf>
    <xf numFmtId="0" fontId="37" fillId="40" borderId="32" xfId="51" applyFont="1" applyFill="1" applyBorder="1" applyAlignment="1">
      <alignment horizontal="center" vertical="center" wrapText="1"/>
    </xf>
    <xf numFmtId="0" fontId="43" fillId="34" borderId="42" xfId="51" applyFont="1" applyFill="1" applyBorder="1" applyAlignment="1">
      <alignment horizontal="center" vertical="center" wrapText="1"/>
    </xf>
    <xf numFmtId="3" fontId="43" fillId="34" borderId="42" xfId="36" applyNumberFormat="1" applyFont="1" applyFill="1" applyBorder="1" applyAlignment="1">
      <alignment horizontal="center" vertical="center"/>
    </xf>
    <xf numFmtId="0" fontId="55" fillId="0" borderId="42" xfId="0" applyFont="1" applyBorder="1" applyAlignment="1">
      <alignment vertical="center"/>
    </xf>
    <xf numFmtId="0" fontId="55" fillId="0" borderId="42" xfId="0" applyFont="1" applyBorder="1" applyAlignment="1">
      <alignment horizontal="center" vertical="center"/>
    </xf>
    <xf numFmtId="0" fontId="44" fillId="34" borderId="43" xfId="45" applyFont="1" applyFill="1" applyBorder="1" applyAlignment="1">
      <alignment horizontal="center" vertical="center"/>
    </xf>
    <xf numFmtId="4" fontId="44" fillId="34" borderId="43" xfId="45" applyNumberFormat="1" applyFont="1" applyFill="1" applyBorder="1" applyAlignment="1">
      <alignment horizontal="center" vertical="center"/>
    </xf>
    <xf numFmtId="0" fontId="44" fillId="34" borderId="43" xfId="45" applyFont="1" applyFill="1" applyBorder="1" applyAlignment="1">
      <alignment horizontal="justify" vertical="center" wrapText="1"/>
    </xf>
    <xf numFmtId="4" fontId="44" fillId="34" borderId="43" xfId="45" applyNumberFormat="1" applyFont="1" applyFill="1" applyBorder="1" applyAlignment="1">
      <alignment horizontal="right" vertical="center"/>
    </xf>
    <xf numFmtId="0" fontId="44" fillId="34" borderId="43" xfId="45" applyFont="1" applyFill="1" applyBorder="1" applyAlignment="1">
      <alignment horizontal="center" vertical="center" wrapText="1"/>
    </xf>
    <xf numFmtId="0" fontId="44" fillId="34" borderId="42" xfId="45" applyFont="1" applyFill="1" applyBorder="1" applyAlignment="1">
      <alignment vertical="top"/>
    </xf>
    <xf numFmtId="0" fontId="44" fillId="34" borderId="42" xfId="45" applyFont="1" applyFill="1" applyBorder="1" applyAlignment="1">
      <alignment horizontal="center" vertical="center"/>
    </xf>
    <xf numFmtId="4" fontId="44" fillId="34" borderId="42" xfId="45" applyNumberFormat="1" applyFont="1" applyFill="1" applyBorder="1" applyAlignment="1">
      <alignment horizontal="center" vertical="center"/>
    </xf>
    <xf numFmtId="4" fontId="44" fillId="34" borderId="42" xfId="45" applyNumberFormat="1" applyFont="1" applyFill="1" applyBorder="1" applyAlignment="1">
      <alignment horizontal="right" vertical="center"/>
    </xf>
    <xf numFmtId="1" fontId="44" fillId="34" borderId="43" xfId="45" applyNumberFormat="1" applyFont="1" applyFill="1" applyBorder="1" applyAlignment="1">
      <alignment horizontal="center" vertical="center" wrapText="1"/>
    </xf>
    <xf numFmtId="4" fontId="44" fillId="34" borderId="43" xfId="45" applyNumberFormat="1" applyFont="1" applyFill="1" applyBorder="1" applyAlignment="1">
      <alignment horizontal="left" vertical="center" wrapText="1"/>
    </xf>
    <xf numFmtId="4" fontId="44" fillId="34" borderId="43" xfId="48" applyNumberFormat="1" applyFont="1" applyFill="1" applyBorder="1" applyAlignment="1">
      <alignment horizontal="right" vertical="center"/>
    </xf>
    <xf numFmtId="3" fontId="44" fillId="34" borderId="43" xfId="48" applyNumberFormat="1" applyFont="1" applyFill="1" applyBorder="1" applyAlignment="1">
      <alignment horizontal="center" vertical="center"/>
    </xf>
    <xf numFmtId="1" fontId="44" fillId="34" borderId="42" xfId="45" applyNumberFormat="1" applyFont="1" applyFill="1" applyBorder="1" applyAlignment="1">
      <alignment horizontal="center" vertical="center" wrapText="1"/>
    </xf>
    <xf numFmtId="3" fontId="44" fillId="34" borderId="42" xfId="48" applyNumberFormat="1" applyFont="1" applyFill="1" applyBorder="1" applyAlignment="1">
      <alignment horizontal="center" vertical="center"/>
    </xf>
    <xf numFmtId="1" fontId="44" fillId="34" borderId="43" xfId="45" applyNumberFormat="1" applyFont="1" applyFill="1" applyBorder="1" applyAlignment="1">
      <alignment horizontal="center" vertical="center"/>
    </xf>
    <xf numFmtId="1" fontId="44" fillId="34" borderId="42" xfId="45" applyNumberFormat="1" applyFont="1" applyFill="1" applyBorder="1" applyAlignment="1">
      <alignment horizontal="center" vertical="center"/>
    </xf>
    <xf numFmtId="10" fontId="52" fillId="34" borderId="43" xfId="46" applyNumberFormat="1" applyFont="1" applyFill="1" applyBorder="1" applyAlignment="1">
      <alignment horizontal="right" vertical="center"/>
    </xf>
    <xf numFmtId="10" fontId="52" fillId="34" borderId="42" xfId="46" applyNumberFormat="1" applyFont="1" applyFill="1" applyBorder="1" applyAlignment="1">
      <alignment horizontal="right" vertical="center"/>
    </xf>
    <xf numFmtId="0" fontId="40" fillId="34" borderId="43" xfId="49" applyFont="1" applyFill="1" applyBorder="1" applyAlignment="1">
      <alignment horizontal="center" vertical="center"/>
    </xf>
    <xf numFmtId="0" fontId="56" fillId="43" borderId="44" xfId="0" applyFont="1" applyFill="1" applyBorder="1"/>
    <xf numFmtId="0" fontId="56" fillId="41" borderId="44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8" fillId="34" borderId="43" xfId="0" applyFont="1" applyFill="1" applyBorder="1" applyAlignment="1">
      <alignment horizontal="left" vertical="center" wrapText="1"/>
    </xf>
    <xf numFmtId="0" fontId="40" fillId="34" borderId="44" xfId="0" applyFont="1" applyFill="1" applyBorder="1" applyAlignment="1">
      <alignment horizontal="left" vertical="center" wrapText="1"/>
    </xf>
    <xf numFmtId="0" fontId="40" fillId="34" borderId="43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9" fillId="36" borderId="0" xfId="49" applyFont="1" applyFill="1" applyAlignment="1">
      <alignment horizontal="right" vertical="center"/>
    </xf>
    <xf numFmtId="4" fontId="39" fillId="36" borderId="0" xfId="49" applyNumberFormat="1" applyFont="1" applyFill="1" applyAlignment="1">
      <alignment horizontal="right" vertical="center"/>
    </xf>
    <xf numFmtId="10" fontId="39" fillId="36" borderId="0" xfId="49" applyNumberFormat="1" applyFont="1" applyFill="1" applyAlignment="1">
      <alignment horizontal="center" vertical="center"/>
    </xf>
    <xf numFmtId="0" fontId="38" fillId="35" borderId="32" xfId="0" applyFont="1" applyFill="1" applyBorder="1" applyAlignment="1">
      <alignment horizontal="center" vertical="center" wrapText="1"/>
    </xf>
    <xf numFmtId="0" fontId="61" fillId="0" borderId="0" xfId="0" applyFont="1"/>
    <xf numFmtId="0" fontId="40" fillId="34" borderId="44" xfId="0" applyFont="1" applyFill="1" applyBorder="1" applyAlignment="1">
      <alignment horizontal="center" vertical="center" wrapText="1"/>
    </xf>
    <xf numFmtId="0" fontId="40" fillId="34" borderId="44" xfId="0" applyFont="1" applyFill="1" applyBorder="1" applyAlignment="1">
      <alignment horizontal="left" vertical="center"/>
    </xf>
    <xf numFmtId="4" fontId="40" fillId="34" borderId="44" xfId="0" applyNumberFormat="1" applyFont="1" applyFill="1" applyBorder="1" applyAlignment="1">
      <alignment horizontal="center" vertical="center" wrapText="1"/>
    </xf>
    <xf numFmtId="10" fontId="40" fillId="34" borderId="44" xfId="34" applyNumberFormat="1" applyFont="1" applyFill="1" applyBorder="1" applyAlignment="1">
      <alignment horizontal="center" vertical="center" wrapText="1"/>
    </xf>
    <xf numFmtId="10" fontId="60" fillId="44" borderId="44" xfId="34" applyNumberFormat="1" applyFont="1" applyFill="1" applyBorder="1" applyAlignment="1">
      <alignment horizontal="center" vertical="center" wrapText="1"/>
    </xf>
    <xf numFmtId="10" fontId="60" fillId="34" borderId="44" xfId="34" applyNumberFormat="1" applyFont="1" applyFill="1" applyBorder="1" applyAlignment="1">
      <alignment horizontal="center" vertical="center" wrapText="1"/>
    </xf>
    <xf numFmtId="4" fontId="40" fillId="34" borderId="44" xfId="34" applyNumberFormat="1" applyFont="1" applyFill="1" applyBorder="1" applyAlignment="1">
      <alignment horizontal="center" vertical="center" wrapText="1"/>
    </xf>
    <xf numFmtId="0" fontId="56" fillId="43" borderId="44" xfId="0" applyFont="1" applyFill="1" applyBorder="1" applyAlignment="1">
      <alignment horizontal="center" vertical="center" wrapText="1"/>
    </xf>
    <xf numFmtId="4" fontId="61" fillId="0" borderId="0" xfId="34" applyNumberFormat="1" applyFont="1"/>
    <xf numFmtId="0" fontId="57" fillId="42" borderId="44" xfId="0" applyFont="1" applyFill="1" applyBorder="1" applyAlignment="1">
      <alignment horizontal="center" vertical="center" wrapText="1"/>
    </xf>
    <xf numFmtId="10" fontId="60" fillId="44" borderId="0" xfId="34" applyNumberFormat="1" applyFont="1" applyFill="1" applyAlignment="1">
      <alignment horizontal="center" vertical="center" wrapText="1"/>
    </xf>
    <xf numFmtId="0" fontId="59" fillId="43" borderId="0" xfId="0" applyFont="1" applyFill="1" applyAlignment="1">
      <alignment horizontal="center" vertical="center" wrapText="1"/>
    </xf>
    <xf numFmtId="0" fontId="59" fillId="45" borderId="0" xfId="0" applyFont="1" applyFill="1" applyAlignment="1">
      <alignment horizontal="center" vertical="center" wrapText="1"/>
    </xf>
    <xf numFmtId="0" fontId="56" fillId="41" borderId="0" xfId="0" applyFont="1" applyFill="1" applyAlignment="1">
      <alignment vertical="center"/>
    </xf>
    <xf numFmtId="0" fontId="57" fillId="42" borderId="0" xfId="0" applyFont="1" applyFill="1" applyAlignment="1">
      <alignment horizontal="center" vertical="center" wrapText="1"/>
    </xf>
    <xf numFmtId="1" fontId="55" fillId="0" borderId="42" xfId="0" applyNumberFormat="1" applyFont="1" applyBorder="1" applyAlignment="1">
      <alignment horizontal="center" vertical="center"/>
    </xf>
    <xf numFmtId="0" fontId="38" fillId="35" borderId="45" xfId="51" applyFont="1" applyFill="1" applyBorder="1" applyAlignment="1">
      <alignment vertical="center"/>
    </xf>
    <xf numFmtId="0" fontId="38" fillId="35" borderId="41" xfId="51" applyFont="1" applyFill="1" applyBorder="1" applyAlignment="1">
      <alignment vertical="center"/>
    </xf>
    <xf numFmtId="0" fontId="43" fillId="0" borderId="42" xfId="49" applyFont="1" applyBorder="1" applyAlignment="1">
      <alignment horizontal="center" vertical="center"/>
    </xf>
    <xf numFmtId="0" fontId="43" fillId="46" borderId="31" xfId="0" applyFont="1" applyFill="1" applyBorder="1"/>
    <xf numFmtId="0" fontId="55" fillId="0" borderId="0" xfId="0" applyFont="1"/>
    <xf numFmtId="0" fontId="62" fillId="0" borderId="0" xfId="49" applyFont="1" applyAlignment="1">
      <alignment horizontal="center" vertical="center"/>
    </xf>
    <xf numFmtId="9" fontId="62" fillId="0" borderId="0" xfId="34" applyFont="1" applyAlignment="1">
      <alignment horizontal="center" vertical="center"/>
    </xf>
    <xf numFmtId="3" fontId="38" fillId="44" borderId="47" xfId="51" applyNumberFormat="1" applyFont="1" applyFill="1" applyBorder="1" applyAlignment="1">
      <alignment horizontal="center" vertical="center"/>
    </xf>
    <xf numFmtId="0" fontId="43" fillId="44" borderId="31" xfId="0" applyFont="1" applyFill="1" applyBorder="1"/>
    <xf numFmtId="3" fontId="43" fillId="48" borderId="35" xfId="51" applyNumberFormat="1" applyFont="1" applyFill="1" applyBorder="1" applyAlignment="1">
      <alignment horizontal="center" vertical="center"/>
    </xf>
    <xf numFmtId="4" fontId="43" fillId="48" borderId="35" xfId="51" applyNumberFormat="1" applyFont="1" applyFill="1" applyBorder="1" applyAlignment="1">
      <alignment horizontal="center" vertical="center"/>
    </xf>
    <xf numFmtId="3" fontId="43" fillId="48" borderId="46" xfId="51" applyNumberFormat="1" applyFont="1" applyFill="1" applyBorder="1" applyAlignment="1">
      <alignment horizontal="center" vertical="center"/>
    </xf>
    <xf numFmtId="0" fontId="56" fillId="0" borderId="0" xfId="49" applyFont="1" applyAlignment="1">
      <alignment vertical="center"/>
    </xf>
    <xf numFmtId="0" fontId="56" fillId="0" borderId="0" xfId="49" applyFont="1" applyAlignment="1">
      <alignment horizontal="center" vertical="center"/>
    </xf>
    <xf numFmtId="168" fontId="55" fillId="0" borderId="42" xfId="0" applyNumberFormat="1" applyFont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0" fontId="59" fillId="0" borderId="31" xfId="45" applyFont="1" applyBorder="1" applyAlignment="1">
      <alignment horizontal="left" vertical="center"/>
    </xf>
    <xf numFmtId="14" fontId="40" fillId="0" borderId="0" xfId="51" applyNumberFormat="1" applyFont="1" applyAlignment="1">
      <alignment horizontal="left"/>
    </xf>
    <xf numFmtId="9" fontId="61" fillId="0" borderId="0" xfId="34" applyFont="1"/>
    <xf numFmtId="3" fontId="43" fillId="34" borderId="43" xfId="51" applyNumberFormat="1" applyFont="1" applyFill="1" applyBorder="1" applyAlignment="1">
      <alignment horizontal="center" vertical="center"/>
    </xf>
    <xf numFmtId="0" fontId="43" fillId="34" borderId="43" xfId="51" applyFont="1" applyFill="1" applyBorder="1" applyAlignment="1">
      <alignment horizontal="center" vertical="center"/>
    </xf>
    <xf numFmtId="3" fontId="38" fillId="34" borderId="48" xfId="36" applyNumberFormat="1" applyFont="1" applyFill="1" applyBorder="1" applyAlignment="1">
      <alignment horizontal="center" vertical="center"/>
    </xf>
    <xf numFmtId="4" fontId="44" fillId="34" borderId="43" xfId="48" applyNumberFormat="1" applyFont="1" applyFill="1" applyBorder="1" applyAlignment="1">
      <alignment horizontal="center" vertical="center"/>
    </xf>
    <xf numFmtId="0" fontId="7" fillId="50" borderId="52" xfId="0" applyFont="1" applyFill="1" applyBorder="1" applyAlignment="1">
      <alignment horizontal="center" vertical="center" wrapText="1"/>
    </xf>
    <xf numFmtId="1" fontId="5" fillId="51" borderId="53" xfId="0" applyNumberFormat="1" applyFont="1" applyFill="1" applyBorder="1" applyAlignment="1">
      <alignment horizontal="center" vertical="center" wrapText="1"/>
    </xf>
    <xf numFmtId="14" fontId="5" fillId="51" borderId="53" xfId="0" applyNumberFormat="1" applyFont="1" applyFill="1" applyBorder="1" applyAlignment="1">
      <alignment vertical="center" wrapText="1"/>
    </xf>
    <xf numFmtId="0" fontId="5" fillId="51" borderId="53" xfId="0" applyFont="1" applyFill="1" applyBorder="1" applyAlignment="1">
      <alignment vertical="center" wrapText="1"/>
    </xf>
    <xf numFmtId="14" fontId="5" fillId="52" borderId="53" xfId="0" applyNumberFormat="1" applyFont="1" applyFill="1" applyBorder="1" applyAlignment="1">
      <alignment vertical="center" wrapText="1"/>
    </xf>
    <xf numFmtId="0" fontId="5" fillId="52" borderId="53" xfId="0" applyFont="1" applyFill="1" applyBorder="1" applyAlignment="1">
      <alignment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4" fontId="5" fillId="0" borderId="53" xfId="0" applyNumberFormat="1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168" fontId="5" fillId="0" borderId="53" xfId="0" applyNumberFormat="1" applyFont="1" applyBorder="1" applyAlignment="1">
      <alignment horizontal="center" vertical="center" wrapText="1"/>
    </xf>
    <xf numFmtId="1" fontId="5" fillId="47" borderId="53" xfId="0" applyNumberFormat="1" applyFont="1" applyFill="1" applyBorder="1" applyAlignment="1">
      <alignment horizontal="center" vertical="center" wrapText="1"/>
    </xf>
    <xf numFmtId="14" fontId="5" fillId="47" borderId="53" xfId="0" applyNumberFormat="1" applyFont="1" applyFill="1" applyBorder="1" applyAlignment="1">
      <alignment vertical="center" wrapText="1"/>
    </xf>
    <xf numFmtId="0" fontId="5" fillId="47" borderId="53" xfId="0" applyFont="1" applyFill="1" applyBorder="1" applyAlignment="1">
      <alignment vertical="center" wrapText="1"/>
    </xf>
    <xf numFmtId="0" fontId="64" fillId="0" borderId="53" xfId="0" applyFont="1" applyBorder="1" applyAlignment="1">
      <alignment vertical="center" wrapText="1"/>
    </xf>
    <xf numFmtId="1" fontId="5" fillId="53" borderId="53" xfId="0" applyNumberFormat="1" applyFont="1" applyFill="1" applyBorder="1" applyAlignment="1">
      <alignment horizontal="center" vertical="center" wrapText="1"/>
    </xf>
    <xf numFmtId="14" fontId="5" fillId="53" borderId="53" xfId="0" applyNumberFormat="1" applyFont="1" applyFill="1" applyBorder="1" applyAlignment="1">
      <alignment vertical="center" wrapText="1"/>
    </xf>
    <xf numFmtId="0" fontId="5" fillId="53" borderId="53" xfId="0" applyFont="1" applyFill="1" applyBorder="1" applyAlignment="1">
      <alignment vertical="center" wrapText="1"/>
    </xf>
    <xf numFmtId="0" fontId="65" fillId="47" borderId="53" xfId="0" applyFont="1" applyFill="1" applyBorder="1" applyAlignment="1">
      <alignment vertical="center" wrapText="1"/>
    </xf>
    <xf numFmtId="0" fontId="65" fillId="0" borderId="53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9" fontId="63" fillId="0" borderId="0" xfId="34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49" applyFont="1" applyAlignment="1">
      <alignment vertical="center"/>
    </xf>
    <xf numFmtId="0" fontId="63" fillId="0" borderId="0" xfId="49" applyFont="1" applyAlignment="1">
      <alignment horizontal="center" vertical="center"/>
    </xf>
    <xf numFmtId="9" fontId="63" fillId="0" borderId="0" xfId="34" applyFont="1" applyAlignment="1">
      <alignment horizontal="center" vertical="center"/>
    </xf>
    <xf numFmtId="0" fontId="64" fillId="53" borderId="53" xfId="0" applyFont="1" applyFill="1" applyBorder="1" applyAlignment="1">
      <alignment vertical="center" wrapText="1"/>
    </xf>
    <xf numFmtId="166" fontId="43" fillId="48" borderId="35" xfId="51" applyNumberFormat="1" applyFont="1" applyFill="1" applyBorder="1" applyAlignment="1">
      <alignment horizontal="center" vertical="center"/>
    </xf>
    <xf numFmtId="3" fontId="38" fillId="48" borderId="35" xfId="51" applyNumberFormat="1" applyFont="1" applyFill="1" applyBorder="1" applyAlignment="1">
      <alignment horizontal="center" vertical="center"/>
    </xf>
    <xf numFmtId="3" fontId="43" fillId="0" borderId="0" xfId="0" applyNumberFormat="1" applyFont="1"/>
    <xf numFmtId="169" fontId="43" fillId="48" borderId="46" xfId="51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 vertical="center"/>
    </xf>
    <xf numFmtId="170" fontId="43" fillId="48" borderId="35" xfId="34" applyNumberFormat="1" applyFont="1" applyFill="1" applyBorder="1" applyAlignment="1">
      <alignment horizontal="center" vertical="center"/>
    </xf>
    <xf numFmtId="0" fontId="22" fillId="54" borderId="60" xfId="0" applyFont="1" applyFill="1" applyBorder="1" applyAlignment="1">
      <alignment horizontal="center" vertical="center"/>
    </xf>
    <xf numFmtId="0" fontId="22" fillId="54" borderId="58" xfId="0" applyFont="1" applyFill="1" applyBorder="1" applyAlignment="1">
      <alignment horizontal="center" vertical="center"/>
    </xf>
    <xf numFmtId="3" fontId="22" fillId="54" borderId="56" xfId="0" applyNumberFormat="1" applyFont="1" applyFill="1" applyBorder="1" applyAlignment="1">
      <alignment horizontal="center" vertical="center"/>
    </xf>
    <xf numFmtId="4" fontId="22" fillId="54" borderId="56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3" fillId="34" borderId="65" xfId="49" applyFont="1" applyFill="1" applyBorder="1" applyAlignment="1">
      <alignment horizontal="left" vertical="center"/>
    </xf>
    <xf numFmtId="0" fontId="43" fillId="34" borderId="66" xfId="49" applyFont="1" applyFill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3" fontId="0" fillId="0" borderId="67" xfId="0" applyNumberFormat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1" fillId="0" borderId="67" xfId="46" applyNumberFormat="1" applyFont="1" applyBorder="1" applyAlignment="1">
      <alignment horizontal="center" vertical="center"/>
    </xf>
    <xf numFmtId="0" fontId="43" fillId="34" borderId="44" xfId="51" applyFont="1" applyFill="1" applyBorder="1" applyAlignment="1">
      <alignment vertical="center"/>
    </xf>
    <xf numFmtId="0" fontId="43" fillId="44" borderId="31" xfId="0" applyFont="1" applyFill="1" applyBorder="1" applyAlignment="1">
      <alignment horizontal="center"/>
    </xf>
    <xf numFmtId="0" fontId="44" fillId="34" borderId="0" xfId="45" applyFont="1" applyFill="1" applyAlignment="1">
      <alignment horizontal="center" vertical="top"/>
    </xf>
    <xf numFmtId="4" fontId="44" fillId="34" borderId="0" xfId="48" applyNumberFormat="1" applyFont="1" applyFill="1" applyBorder="1" applyAlignment="1">
      <alignment vertical="center"/>
    </xf>
    <xf numFmtId="4" fontId="44" fillId="34" borderId="0" xfId="45" applyNumberFormat="1" applyFont="1" applyFill="1" applyAlignment="1">
      <alignment vertical="center" wrapText="1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2" fillId="34" borderId="0" xfId="46" applyNumberFormat="1" applyFont="1" applyFill="1" applyBorder="1" applyAlignment="1">
      <alignment horizontal="right" vertical="center"/>
    </xf>
    <xf numFmtId="9" fontId="40" fillId="37" borderId="0" xfId="49" applyNumberFormat="1" applyFont="1" applyFill="1"/>
    <xf numFmtId="0" fontId="45" fillId="0" borderId="0" xfId="45" applyFont="1" applyAlignment="1">
      <alignment horizontal="left" vertical="top" wrapText="1"/>
    </xf>
    <xf numFmtId="1" fontId="68" fillId="0" borderId="0" xfId="0" applyNumberFormat="1" applyFont="1" applyAlignment="1">
      <alignment horizontal="center" vertical="top"/>
    </xf>
    <xf numFmtId="0" fontId="68" fillId="0" borderId="0" xfId="0" applyFont="1" applyAlignment="1">
      <alignment vertical="top"/>
    </xf>
    <xf numFmtId="0" fontId="67" fillId="0" borderId="0" xfId="0" applyFont="1" applyAlignment="1">
      <alignment horizontal="center" vertical="top"/>
    </xf>
    <xf numFmtId="0" fontId="67" fillId="0" borderId="0" xfId="45" applyFont="1" applyAlignment="1">
      <alignment horizontal="left" vertical="top"/>
    </xf>
    <xf numFmtId="0" fontId="68" fillId="0" borderId="0" xfId="45" applyFont="1" applyAlignment="1">
      <alignment vertical="top"/>
    </xf>
    <xf numFmtId="49" fontId="68" fillId="34" borderId="0" xfId="0" applyNumberFormat="1" applyFont="1" applyFill="1" applyAlignment="1">
      <alignment horizontal="center" vertical="top"/>
    </xf>
    <xf numFmtId="0" fontId="67" fillId="0" borderId="0" xfId="45" applyFont="1" applyAlignment="1">
      <alignment horizontal="right" vertical="top"/>
    </xf>
    <xf numFmtId="14" fontId="68" fillId="0" borderId="0" xfId="45" applyNumberFormat="1" applyFont="1" applyAlignment="1">
      <alignment horizontal="center" vertical="top"/>
    </xf>
    <xf numFmtId="0" fontId="68" fillId="0" borderId="0" xfId="45" applyFont="1" applyAlignment="1">
      <alignment horizontal="left" vertical="top"/>
    </xf>
    <xf numFmtId="0" fontId="68" fillId="0" borderId="0" xfId="0" applyFont="1" applyAlignment="1">
      <alignment vertical="top" wrapText="1"/>
    </xf>
    <xf numFmtId="0" fontId="69" fillId="55" borderId="0" xfId="0" applyFont="1" applyFill="1" applyAlignment="1">
      <alignment horizontal="center" vertical="top"/>
    </xf>
    <xf numFmtId="49" fontId="67" fillId="0" borderId="0" xfId="0" applyNumberFormat="1" applyFont="1" applyAlignment="1">
      <alignment horizontal="center" vertical="top"/>
    </xf>
    <xf numFmtId="0" fontId="70" fillId="40" borderId="0" xfId="0" applyFont="1" applyFill="1" applyAlignment="1">
      <alignment horizontal="center" vertical="top"/>
    </xf>
    <xf numFmtId="0" fontId="70" fillId="40" borderId="0" xfId="0" applyFont="1" applyFill="1" applyAlignment="1">
      <alignment vertical="top"/>
    </xf>
    <xf numFmtId="0" fontId="69" fillId="40" borderId="0" xfId="0" applyFont="1" applyFill="1" applyAlignment="1">
      <alignment vertical="top"/>
    </xf>
    <xf numFmtId="0" fontId="68" fillId="0" borderId="0" xfId="0" applyFont="1" applyAlignment="1">
      <alignment horizontal="justify" vertical="top"/>
    </xf>
    <xf numFmtId="4" fontId="68" fillId="0" borderId="0" xfId="36" applyNumberFormat="1" applyFont="1" applyAlignment="1">
      <alignment horizontal="center" vertical="top"/>
    </xf>
    <xf numFmtId="49" fontId="68" fillId="0" borderId="0" xfId="36" applyNumberFormat="1" applyFont="1" applyAlignment="1">
      <alignment horizontal="center" vertical="top"/>
    </xf>
    <xf numFmtId="0" fontId="67" fillId="35" borderId="32" xfId="45" applyFont="1" applyFill="1" applyBorder="1" applyAlignment="1">
      <alignment horizontal="center" vertical="top"/>
    </xf>
    <xf numFmtId="0" fontId="67" fillId="35" borderId="32" xfId="45" applyFont="1" applyFill="1" applyBorder="1" applyAlignment="1">
      <alignment horizontal="left" vertical="top"/>
    </xf>
    <xf numFmtId="0" fontId="67" fillId="35" borderId="32" xfId="45" applyFont="1" applyFill="1" applyBorder="1" applyAlignment="1">
      <alignment horizontal="right" vertical="top"/>
    </xf>
    <xf numFmtId="4" fontId="67" fillId="35" borderId="32" xfId="45" applyNumberFormat="1" applyFont="1" applyFill="1" applyBorder="1" applyAlignment="1">
      <alignment horizontal="center" vertical="top"/>
    </xf>
    <xf numFmtId="1" fontId="68" fillId="34" borderId="43" xfId="0" applyNumberFormat="1" applyFont="1" applyFill="1" applyBorder="1" applyAlignment="1">
      <alignment horizontal="center" vertical="top"/>
    </xf>
    <xf numFmtId="0" fontId="71" fillId="34" borderId="43" xfId="0" applyFont="1" applyFill="1" applyBorder="1" applyAlignment="1">
      <alignment vertical="top"/>
    </xf>
    <xf numFmtId="4" fontId="68" fillId="34" borderId="43" xfId="36" applyNumberFormat="1" applyFont="1" applyFill="1" applyBorder="1" applyAlignment="1">
      <alignment horizontal="center" vertical="top"/>
    </xf>
    <xf numFmtId="164" fontId="71" fillId="34" borderId="43" xfId="36" applyFont="1" applyFill="1" applyBorder="1" applyAlignment="1">
      <alignment horizontal="center" vertical="top"/>
    </xf>
    <xf numFmtId="49" fontId="68" fillId="34" borderId="43" xfId="36" applyNumberFormat="1" applyFont="1" applyFill="1" applyBorder="1" applyAlignment="1">
      <alignment horizontal="center" vertical="top"/>
    </xf>
    <xf numFmtId="4" fontId="68" fillId="34" borderId="43" xfId="36" applyNumberFormat="1" applyFont="1" applyFill="1" applyBorder="1" applyAlignment="1">
      <alignment horizontal="right" vertical="top"/>
    </xf>
    <xf numFmtId="0" fontId="68" fillId="34" borderId="42" xfId="0" applyFont="1" applyFill="1" applyBorder="1" applyAlignment="1">
      <alignment vertical="top"/>
    </xf>
    <xf numFmtId="164" fontId="68" fillId="34" borderId="42" xfId="36" applyFont="1" applyFill="1" applyBorder="1" applyAlignment="1">
      <alignment horizontal="center" vertical="top"/>
    </xf>
    <xf numFmtId="49" fontId="68" fillId="34" borderId="42" xfId="36" applyNumberFormat="1" applyFont="1" applyFill="1" applyBorder="1" applyAlignment="1">
      <alignment horizontal="center" vertical="top"/>
    </xf>
    <xf numFmtId="4" fontId="68" fillId="34" borderId="42" xfId="36" applyNumberFormat="1" applyFont="1" applyFill="1" applyBorder="1" applyAlignment="1">
      <alignment horizontal="center" vertical="top"/>
    </xf>
    <xf numFmtId="4" fontId="68" fillId="34" borderId="42" xfId="36" applyNumberFormat="1" applyFont="1" applyFill="1" applyBorder="1" applyAlignment="1">
      <alignment horizontal="right" vertical="top"/>
    </xf>
    <xf numFmtId="165" fontId="68" fillId="0" borderId="0" xfId="36" applyNumberFormat="1" applyFont="1" applyAlignment="1">
      <alignment horizontal="center" vertical="top"/>
    </xf>
    <xf numFmtId="164" fontId="68" fillId="34" borderId="0" xfId="36" applyFont="1" applyFill="1" applyAlignment="1">
      <alignment vertical="top"/>
    </xf>
    <xf numFmtId="0" fontId="67" fillId="35" borderId="0" xfId="45" applyFont="1" applyFill="1" applyAlignment="1">
      <alignment horizontal="center" vertical="top"/>
    </xf>
    <xf numFmtId="0" fontId="67" fillId="35" borderId="0" xfId="45" applyFont="1" applyFill="1" applyAlignment="1">
      <alignment horizontal="left" vertical="top"/>
    </xf>
    <xf numFmtId="0" fontId="67" fillId="35" borderId="0" xfId="45" applyFont="1" applyFill="1" applyAlignment="1">
      <alignment horizontal="right" vertical="top"/>
    </xf>
    <xf numFmtId="4" fontId="67" fillId="35" borderId="0" xfId="45" applyNumberFormat="1" applyFont="1" applyFill="1" applyAlignment="1">
      <alignment horizontal="right" vertical="top"/>
    </xf>
    <xf numFmtId="10" fontId="67" fillId="35" borderId="0" xfId="46" applyNumberFormat="1" applyFont="1" applyFill="1" applyAlignment="1">
      <alignment horizontal="right" vertical="top"/>
    </xf>
    <xf numFmtId="0" fontId="71" fillId="34" borderId="42" xfId="0" applyFont="1" applyFill="1" applyBorder="1" applyAlignment="1">
      <alignment vertical="top"/>
    </xf>
    <xf numFmtId="0" fontId="72" fillId="34" borderId="42" xfId="0" applyFont="1" applyFill="1" applyBorder="1" applyAlignment="1">
      <alignment vertical="top"/>
    </xf>
    <xf numFmtId="1" fontId="68" fillId="34" borderId="43" xfId="36" quotePrefix="1" applyNumberFormat="1" applyFont="1" applyFill="1" applyBorder="1" applyAlignment="1">
      <alignment horizontal="center" vertical="top"/>
    </xf>
    <xf numFmtId="49" fontId="68" fillId="34" borderId="43" xfId="36" applyNumberFormat="1" applyFont="1" applyFill="1" applyBorder="1" applyAlignment="1">
      <alignment horizontal="right" vertical="top"/>
    </xf>
    <xf numFmtId="1" fontId="68" fillId="34" borderId="42" xfId="0" applyNumberFormat="1" applyFont="1" applyFill="1" applyBorder="1" applyAlignment="1">
      <alignment horizontal="center" vertical="top"/>
    </xf>
    <xf numFmtId="1" fontId="68" fillId="34" borderId="42" xfId="36" quotePrefix="1" applyNumberFormat="1" applyFont="1" applyFill="1" applyBorder="1" applyAlignment="1">
      <alignment horizontal="center" vertical="top"/>
    </xf>
    <xf numFmtId="49" fontId="68" fillId="34" borderId="42" xfId="36" applyNumberFormat="1" applyFont="1" applyFill="1" applyBorder="1" applyAlignment="1">
      <alignment horizontal="right" vertical="top"/>
    </xf>
    <xf numFmtId="1" fontId="68" fillId="0" borderId="0" xfId="36" applyNumberFormat="1" applyFont="1" applyAlignment="1">
      <alignment horizontal="center" vertical="top"/>
    </xf>
    <xf numFmtId="49" fontId="68" fillId="0" borderId="0" xfId="36" applyNumberFormat="1" applyFont="1" applyAlignment="1">
      <alignment horizontal="right" vertical="top"/>
    </xf>
    <xf numFmtId="0" fontId="68" fillId="34" borderId="43" xfId="0" applyFont="1" applyFill="1" applyBorder="1" applyAlignment="1">
      <alignment vertical="top"/>
    </xf>
    <xf numFmtId="1" fontId="68" fillId="34" borderId="43" xfId="36" applyNumberFormat="1" applyFont="1" applyFill="1" applyBorder="1" applyAlignment="1">
      <alignment horizontal="center" vertical="top" wrapText="1"/>
    </xf>
    <xf numFmtId="1" fontId="68" fillId="34" borderId="43" xfId="36" applyNumberFormat="1" applyFont="1" applyFill="1" applyBorder="1" applyAlignment="1">
      <alignment horizontal="center" vertical="top"/>
    </xf>
    <xf numFmtId="1" fontId="68" fillId="34" borderId="42" xfId="36" applyNumberFormat="1" applyFont="1" applyFill="1" applyBorder="1" applyAlignment="1">
      <alignment horizontal="center" vertical="top"/>
    </xf>
    <xf numFmtId="164" fontId="68" fillId="0" borderId="0" xfId="36" applyFont="1" applyAlignment="1">
      <alignment vertical="top"/>
    </xf>
    <xf numFmtId="1" fontId="67" fillId="35" borderId="0" xfId="0" applyNumberFormat="1" applyFont="1" applyFill="1" applyAlignment="1">
      <alignment horizontal="center" vertical="top"/>
    </xf>
    <xf numFmtId="0" fontId="67" fillId="35" borderId="0" xfId="0" applyFont="1" applyFill="1" applyAlignment="1">
      <alignment vertical="top"/>
    </xf>
    <xf numFmtId="0" fontId="67" fillId="35" borderId="0" xfId="0" applyFont="1" applyFill="1" applyAlignment="1">
      <alignment horizontal="right" vertical="top"/>
    </xf>
    <xf numFmtId="1" fontId="71" fillId="34" borderId="42" xfId="0" applyNumberFormat="1" applyFont="1" applyFill="1" applyBorder="1" applyAlignment="1">
      <alignment horizontal="center" vertical="top"/>
    </xf>
    <xf numFmtId="1" fontId="68" fillId="0" borderId="42" xfId="36" applyNumberFormat="1" applyFont="1" applyFill="1" applyBorder="1" applyAlignment="1">
      <alignment horizontal="center" vertical="top"/>
    </xf>
    <xf numFmtId="4" fontId="68" fillId="0" borderId="42" xfId="36" applyNumberFormat="1" applyFont="1" applyFill="1" applyBorder="1" applyAlignment="1">
      <alignment horizontal="center" vertical="top"/>
    </xf>
    <xf numFmtId="4" fontId="68" fillId="0" borderId="42" xfId="36" applyNumberFormat="1" applyFont="1" applyFill="1" applyBorder="1" applyAlignment="1">
      <alignment horizontal="right"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center" vertical="top"/>
    </xf>
    <xf numFmtId="49" fontId="68" fillId="0" borderId="0" xfId="0" applyNumberFormat="1" applyFont="1" applyAlignment="1">
      <alignment horizontal="center" vertical="top"/>
    </xf>
    <xf numFmtId="0" fontId="68" fillId="34" borderId="0" xfId="0" applyFont="1" applyFill="1" applyAlignment="1">
      <alignment vertical="top"/>
    </xf>
    <xf numFmtId="0" fontId="36" fillId="55" borderId="37" xfId="45" applyFont="1" applyFill="1" applyBorder="1" applyAlignment="1">
      <alignment horizontal="center" vertical="center"/>
    </xf>
    <xf numFmtId="0" fontId="36" fillId="55" borderId="37" xfId="45" applyFont="1" applyFill="1" applyBorder="1" applyAlignment="1">
      <alignment horizontal="center" vertical="center" wrapText="1"/>
    </xf>
    <xf numFmtId="4" fontId="36" fillId="55" borderId="37" xfId="45" applyNumberFormat="1" applyFont="1" applyFill="1" applyBorder="1" applyAlignment="1">
      <alignment horizontal="center" vertical="center"/>
    </xf>
    <xf numFmtId="4" fontId="36" fillId="55" borderId="37" xfId="45" applyNumberFormat="1" applyFont="1" applyFill="1" applyBorder="1" applyAlignment="1">
      <alignment horizontal="center" vertical="center" wrapText="1"/>
    </xf>
    <xf numFmtId="0" fontId="73" fillId="40" borderId="35" xfId="45" applyFont="1" applyFill="1" applyBorder="1" applyAlignment="1">
      <alignment horizontal="center" vertical="center"/>
    </xf>
    <xf numFmtId="0" fontId="73" fillId="40" borderId="35" xfId="45" applyFont="1" applyFill="1" applyBorder="1" applyAlignment="1">
      <alignment vertical="center"/>
    </xf>
    <xf numFmtId="0" fontId="73" fillId="40" borderId="35" xfId="45" applyFont="1" applyFill="1" applyBorder="1" applyAlignment="1">
      <alignment horizontal="right" vertical="center"/>
    </xf>
    <xf numFmtId="4" fontId="73" fillId="40" borderId="35" xfId="45" applyNumberFormat="1" applyFont="1" applyFill="1" applyBorder="1" applyAlignment="1">
      <alignment vertical="center"/>
    </xf>
    <xf numFmtId="10" fontId="73" fillId="40" borderId="35" xfId="46" applyNumberFormat="1" applyFont="1" applyFill="1" applyBorder="1" applyAlignment="1">
      <alignment horizontal="right" vertical="center"/>
    </xf>
    <xf numFmtId="0" fontId="73" fillId="35" borderId="0" xfId="45" applyFont="1" applyFill="1" applyAlignment="1">
      <alignment horizontal="center" vertical="center"/>
    </xf>
    <xf numFmtId="0" fontId="73" fillId="35" borderId="0" xfId="45" applyFont="1" applyFill="1" applyAlignment="1">
      <alignment horizontal="left" vertical="center"/>
    </xf>
    <xf numFmtId="0" fontId="73" fillId="35" borderId="0" xfId="45" applyFont="1" applyFill="1" applyAlignment="1">
      <alignment horizontal="right" vertical="center"/>
    </xf>
    <xf numFmtId="4" fontId="73" fillId="35" borderId="0" xfId="45" applyNumberFormat="1" applyFont="1" applyFill="1" applyAlignment="1">
      <alignment horizontal="right" vertical="center"/>
    </xf>
    <xf numFmtId="0" fontId="73" fillId="40" borderId="37" xfId="45" applyFont="1" applyFill="1" applyBorder="1" applyAlignment="1">
      <alignment horizontal="center" vertical="center"/>
    </xf>
    <xf numFmtId="0" fontId="73" fillId="40" borderId="37" xfId="45" applyFont="1" applyFill="1" applyBorder="1" applyAlignment="1">
      <alignment vertical="center"/>
    </xf>
    <xf numFmtId="1" fontId="44" fillId="34" borderId="0" xfId="45" applyNumberFormat="1" applyFont="1" applyFill="1" applyAlignment="1">
      <alignment horizontal="center" vertical="center" wrapText="1"/>
    </xf>
    <xf numFmtId="4" fontId="54" fillId="55" borderId="0" xfId="45" applyNumberFormat="1" applyFont="1" applyFill="1" applyAlignment="1">
      <alignment horizontal="right" vertical="center"/>
    </xf>
    <xf numFmtId="0" fontId="40" fillId="55" borderId="0" xfId="45" applyFont="1" applyFill="1" applyAlignment="1">
      <alignment horizontal="center"/>
    </xf>
    <xf numFmtId="4" fontId="54" fillId="55" borderId="0" xfId="45" applyNumberFormat="1" applyFont="1" applyFill="1" applyAlignment="1">
      <alignment vertical="center"/>
    </xf>
    <xf numFmtId="4" fontId="73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4" fillId="5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73" fillId="35" borderId="0" xfId="34" applyNumberFormat="1" applyFont="1" applyFill="1" applyAlignment="1">
      <alignment horizontal="right" vertical="center"/>
    </xf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0" fontId="36" fillId="55" borderId="37" xfId="0" applyFont="1" applyFill="1" applyBorder="1" applyAlignment="1">
      <alignment horizontal="center" vertical="center"/>
    </xf>
    <xf numFmtId="0" fontId="36" fillId="55" borderId="32" xfId="0" applyFont="1" applyFill="1" applyBorder="1" applyAlignment="1">
      <alignment horizontal="center" vertical="center" wrapText="1"/>
    </xf>
    <xf numFmtId="0" fontId="36" fillId="55" borderId="37" xfId="0" applyFont="1" applyFill="1" applyBorder="1" applyAlignment="1">
      <alignment horizontal="center" vertical="center" wrapText="1"/>
    </xf>
    <xf numFmtId="4" fontId="57" fillId="55" borderId="0" xfId="0" applyNumberFormat="1" applyFont="1" applyFill="1" applyAlignment="1">
      <alignment horizontal="center" vertical="center" wrapText="1"/>
    </xf>
    <xf numFmtId="10" fontId="57" fillId="55" borderId="0" xfId="34" applyNumberFormat="1" applyFont="1" applyFill="1" applyAlignment="1">
      <alignment horizontal="center" vertical="center" wrapText="1"/>
    </xf>
    <xf numFmtId="0" fontId="59" fillId="40" borderId="68" xfId="0" applyFont="1" applyFill="1" applyBorder="1" applyAlignment="1">
      <alignment horizontal="center" vertical="center" wrapText="1"/>
    </xf>
    <xf numFmtId="0" fontId="59" fillId="40" borderId="31" xfId="0" applyFont="1" applyFill="1" applyBorder="1" applyAlignment="1">
      <alignment horizontal="center" vertical="center" wrapText="1"/>
    </xf>
    <xf numFmtId="4" fontId="58" fillId="34" borderId="43" xfId="0" applyNumberFormat="1" applyFont="1" applyFill="1" applyBorder="1" applyAlignment="1">
      <alignment horizontal="right" vertical="center" wrapText="1"/>
    </xf>
    <xf numFmtId="4" fontId="55" fillId="0" borderId="42" xfId="0" applyNumberFormat="1" applyFont="1" applyBorder="1" applyAlignment="1">
      <alignment horizontal="center" vertical="center"/>
    </xf>
    <xf numFmtId="0" fontId="55" fillId="0" borderId="42" xfId="0" applyFont="1" applyBorder="1" applyAlignment="1">
      <alignment vertical="center" wrapText="1"/>
    </xf>
    <xf numFmtId="0" fontId="43" fillId="0" borderId="42" xfId="51" applyFont="1" applyBorder="1" applyAlignment="1">
      <alignment horizontal="center" vertical="center"/>
    </xf>
    <xf numFmtId="170" fontId="40" fillId="34" borderId="43" xfId="0" applyNumberFormat="1" applyFont="1" applyFill="1" applyBorder="1" applyAlignment="1">
      <alignment horizontal="center" vertical="center" wrapText="1"/>
    </xf>
    <xf numFmtId="170" fontId="40" fillId="34" borderId="0" xfId="0" applyNumberFormat="1" applyFont="1" applyFill="1" applyAlignment="1">
      <alignment horizontal="center" vertical="center" wrapText="1"/>
    </xf>
    <xf numFmtId="166" fontId="44" fillId="34" borderId="43" xfId="48" applyNumberFormat="1" applyFont="1" applyFill="1" applyBorder="1" applyAlignment="1">
      <alignment horizontal="center" vertical="center"/>
    </xf>
    <xf numFmtId="2" fontId="44" fillId="34" borderId="43" xfId="45" applyNumberFormat="1" applyFont="1" applyFill="1" applyBorder="1" applyAlignment="1">
      <alignment horizontal="center" vertical="center" wrapText="1"/>
    </xf>
    <xf numFmtId="2" fontId="43" fillId="0" borderId="42" xfId="51" applyNumberFormat="1" applyFont="1" applyBorder="1" applyAlignment="1">
      <alignment horizontal="center" vertical="center"/>
    </xf>
    <xf numFmtId="0" fontId="74" fillId="0" borderId="0" xfId="45" applyFont="1" applyAlignment="1">
      <alignment horizontal="right" vertical="top"/>
    </xf>
    <xf numFmtId="0" fontId="74" fillId="0" borderId="0" xfId="45" applyFont="1" applyAlignment="1">
      <alignment horizontal="left" vertical="top"/>
    </xf>
    <xf numFmtId="14" fontId="40" fillId="0" borderId="0" xfId="51" applyNumberFormat="1" applyFont="1" applyAlignment="1">
      <alignment vertical="center"/>
    </xf>
    <xf numFmtId="3" fontId="43" fillId="34" borderId="72" xfId="51" applyNumberFormat="1" applyFont="1" applyFill="1" applyBorder="1" applyAlignment="1">
      <alignment horizontal="center" vertical="center"/>
    </xf>
    <xf numFmtId="0" fontId="43" fillId="34" borderId="72" xfId="51" applyFont="1" applyFill="1" applyBorder="1" applyAlignment="1">
      <alignment horizontal="center" vertical="center" wrapText="1"/>
    </xf>
    <xf numFmtId="0" fontId="43" fillId="34" borderId="72" xfId="51" applyFont="1" applyFill="1" applyBorder="1" applyAlignment="1">
      <alignment horizontal="center" vertical="center"/>
    </xf>
    <xf numFmtId="1" fontId="43" fillId="44" borderId="35" xfId="0" applyNumberFormat="1" applyFont="1" applyFill="1" applyBorder="1" applyAlignment="1">
      <alignment horizont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39" fillId="0" borderId="0" xfId="0" applyFont="1" applyAlignment="1">
      <alignment vertical="top" wrapText="1"/>
    </xf>
    <xf numFmtId="0" fontId="37" fillId="55" borderId="37" xfId="0" applyFont="1" applyFill="1" applyBorder="1" applyAlignment="1">
      <alignment horizontal="center" vertical="center"/>
    </xf>
    <xf numFmtId="0" fontId="37" fillId="55" borderId="0" xfId="45" applyFont="1" applyFill="1" applyAlignment="1">
      <alignment horizontal="right" vertical="center" wrapText="1"/>
    </xf>
    <xf numFmtId="0" fontId="37" fillId="55" borderId="0" xfId="45" applyFont="1" applyFill="1" applyAlignment="1">
      <alignment vertical="center" wrapText="1"/>
    </xf>
    <xf numFmtId="0" fontId="37" fillId="55" borderId="0" xfId="49" applyFont="1" applyFill="1" applyAlignment="1">
      <alignment horizontal="center" vertical="center"/>
    </xf>
    <xf numFmtId="0" fontId="37" fillId="55" borderId="0" xfId="49" applyFont="1" applyFill="1" applyAlignment="1">
      <alignment horizontal="center" vertical="center" wrapText="1"/>
    </xf>
    <xf numFmtId="3" fontId="37" fillId="55" borderId="0" xfId="49" applyNumberFormat="1" applyFont="1" applyFill="1" applyAlignment="1">
      <alignment horizontal="center" vertical="center" wrapText="1"/>
    </xf>
    <xf numFmtId="0" fontId="47" fillId="55" borderId="0" xfId="49" applyFont="1" applyFill="1" applyAlignment="1">
      <alignment horizontal="center" vertical="center"/>
    </xf>
    <xf numFmtId="0" fontId="37" fillId="55" borderId="0" xfId="49" applyFont="1" applyFill="1" applyAlignment="1">
      <alignment horizontal="left" vertical="center"/>
    </xf>
    <xf numFmtId="4" fontId="37" fillId="55" borderId="0" xfId="49" applyNumberFormat="1" applyFont="1" applyFill="1" applyAlignment="1">
      <alignment horizontal="center" vertical="center"/>
    </xf>
    <xf numFmtId="3" fontId="37" fillId="55" borderId="0" xfId="49" applyNumberFormat="1" applyFont="1" applyFill="1" applyAlignment="1">
      <alignment horizontal="left" vertical="center"/>
    </xf>
    <xf numFmtId="0" fontId="47" fillId="55" borderId="0" xfId="49" applyFont="1" applyFill="1" applyAlignment="1">
      <alignment horizontal="left" vertical="center"/>
    </xf>
    <xf numFmtId="0" fontId="22" fillId="55" borderId="55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55" xfId="0" applyFont="1" applyFill="1" applyBorder="1" applyAlignment="1">
      <alignment horizontal="center" vertical="center"/>
    </xf>
    <xf numFmtId="0" fontId="22" fillId="55" borderId="57" xfId="0" applyFont="1" applyFill="1" applyBorder="1" applyAlignment="1">
      <alignment horizontal="center" vertical="center"/>
    </xf>
    <xf numFmtId="0" fontId="22" fillId="55" borderId="54" xfId="0" applyFont="1" applyFill="1" applyBorder="1" applyAlignment="1">
      <alignment horizontal="center" vertical="center"/>
    </xf>
    <xf numFmtId="0" fontId="22" fillId="55" borderId="59" xfId="0" applyFont="1" applyFill="1" applyBorder="1" applyAlignment="1">
      <alignment horizontal="center" vertical="center"/>
    </xf>
    <xf numFmtId="0" fontId="37" fillId="55" borderId="37" xfId="51" applyFont="1" applyFill="1" applyBorder="1" applyAlignment="1">
      <alignment horizontal="center" vertical="center" wrapText="1"/>
    </xf>
    <xf numFmtId="0" fontId="37" fillId="55" borderId="32" xfId="51" applyFont="1" applyFill="1" applyBorder="1" applyAlignment="1">
      <alignment horizontal="center" vertical="center" wrapText="1"/>
    </xf>
    <xf numFmtId="0" fontId="37" fillId="55" borderId="32" xfId="51" applyFont="1" applyFill="1" applyBorder="1" applyAlignment="1">
      <alignment horizontal="center" vertical="center"/>
    </xf>
    <xf numFmtId="0" fontId="47" fillId="55" borderId="37" xfId="51" applyFont="1" applyFill="1" applyBorder="1"/>
    <xf numFmtId="0" fontId="57" fillId="55" borderId="0" xfId="49" applyFont="1" applyFill="1" applyAlignment="1">
      <alignment horizontal="center" vertical="center"/>
    </xf>
    <xf numFmtId="0" fontId="57" fillId="55" borderId="0" xfId="49" applyFont="1" applyFill="1" applyAlignment="1">
      <alignment horizontal="center" vertical="center" wrapText="1"/>
    </xf>
    <xf numFmtId="0" fontId="43" fillId="0" borderId="10" xfId="51" applyFont="1" applyBorder="1" applyAlignment="1">
      <alignment horizontal="center" vertical="center"/>
    </xf>
    <xf numFmtId="3" fontId="43" fillId="0" borderId="8" xfId="51" applyNumberFormat="1" applyFont="1" applyBorder="1" applyAlignment="1">
      <alignment horizontal="center" vertical="center"/>
    </xf>
    <xf numFmtId="0" fontId="43" fillId="0" borderId="8" xfId="51" applyFont="1" applyBorder="1" applyAlignment="1">
      <alignment horizontal="center" vertical="center"/>
    </xf>
    <xf numFmtId="0" fontId="45" fillId="39" borderId="32" xfId="51" applyFont="1" applyFill="1" applyBorder="1" applyAlignment="1">
      <alignment horizontal="center" vertical="center" wrapText="1"/>
    </xf>
    <xf numFmtId="166" fontId="43" fillId="34" borderId="42" xfId="36" applyNumberFormat="1" applyFont="1" applyFill="1" applyBorder="1" applyAlignment="1">
      <alignment horizontal="center" vertical="center"/>
    </xf>
    <xf numFmtId="2" fontId="43" fillId="34" borderId="42" xfId="51" applyNumberFormat="1" applyFont="1" applyFill="1" applyBorder="1" applyAlignment="1">
      <alignment horizontal="center" vertical="center"/>
    </xf>
    <xf numFmtId="0" fontId="47" fillId="38" borderId="74" xfId="51" applyFont="1" applyFill="1" applyBorder="1" applyAlignment="1">
      <alignment horizontal="center" vertical="center"/>
    </xf>
    <xf numFmtId="3" fontId="47" fillId="38" borderId="74" xfId="51" applyNumberFormat="1" applyFont="1" applyFill="1" applyBorder="1" applyAlignment="1">
      <alignment horizontal="center" vertical="center"/>
    </xf>
    <xf numFmtId="3" fontId="47" fillId="38" borderId="42" xfId="51" applyNumberFormat="1" applyFont="1" applyFill="1" applyBorder="1" applyAlignment="1">
      <alignment horizontal="center" vertical="center"/>
    </xf>
    <xf numFmtId="3" fontId="47" fillId="38" borderId="44" xfId="51" applyNumberFormat="1" applyFont="1" applyFill="1" applyBorder="1" applyAlignment="1">
      <alignment horizontal="center" vertical="center"/>
    </xf>
    <xf numFmtId="0" fontId="37" fillId="40" borderId="37" xfId="51" applyFont="1" applyFill="1" applyBorder="1" applyAlignment="1">
      <alignment horizontal="center" vertical="center" wrapText="1"/>
    </xf>
    <xf numFmtId="0" fontId="75" fillId="47" borderId="32" xfId="51" applyFont="1" applyFill="1" applyBorder="1" applyAlignment="1">
      <alignment horizontal="center" vertical="center"/>
    </xf>
    <xf numFmtId="0" fontId="38" fillId="34" borderId="75" xfId="51" applyFont="1" applyFill="1" applyBorder="1" applyAlignment="1">
      <alignment horizontal="center" vertical="center"/>
    </xf>
    <xf numFmtId="0" fontId="38" fillId="34" borderId="48" xfId="51" applyFont="1" applyFill="1" applyBorder="1" applyAlignment="1">
      <alignment horizontal="center" vertical="center"/>
    </xf>
    <xf numFmtId="0" fontId="37" fillId="40" borderId="76" xfId="51" applyFont="1" applyFill="1" applyBorder="1" applyAlignment="1">
      <alignment horizontal="center" vertical="center" wrapText="1"/>
    </xf>
    <xf numFmtId="0" fontId="75" fillId="47" borderId="39" xfId="51" applyFont="1" applyFill="1" applyBorder="1" applyAlignment="1">
      <alignment horizontal="center" vertical="center"/>
    </xf>
    <xf numFmtId="0" fontId="38" fillId="34" borderId="49" xfId="51" applyFont="1" applyFill="1" applyBorder="1" applyAlignment="1">
      <alignment horizontal="center" vertical="center"/>
    </xf>
    <xf numFmtId="0" fontId="43" fillId="34" borderId="77" xfId="51" applyFont="1" applyFill="1" applyBorder="1" applyAlignment="1">
      <alignment horizontal="center" vertical="center"/>
    </xf>
    <xf numFmtId="0" fontId="75" fillId="34" borderId="77" xfId="51" applyFont="1" applyFill="1" applyBorder="1" applyAlignment="1">
      <alignment horizontal="center" vertical="center"/>
    </xf>
    <xf numFmtId="0" fontId="76" fillId="0" borderId="0" xfId="0" applyFont="1"/>
    <xf numFmtId="0" fontId="39" fillId="34" borderId="31" xfId="45" applyFont="1" applyFill="1" applyBorder="1" applyAlignment="1">
      <alignment horizontal="left" vertical="center"/>
    </xf>
    <xf numFmtId="0" fontId="40" fillId="34" borderId="31" xfId="45" applyFont="1" applyFill="1" applyBorder="1"/>
    <xf numFmtId="0" fontId="40" fillId="34" borderId="0" xfId="0" applyFont="1" applyFill="1"/>
    <xf numFmtId="0" fontId="39" fillId="34" borderId="31" xfId="45" applyFont="1" applyFill="1" applyBorder="1" applyAlignment="1">
      <alignment horizontal="right" vertical="center"/>
    </xf>
    <xf numFmtId="14" fontId="40" fillId="34" borderId="31" xfId="45" applyNumberFormat="1" applyFont="1" applyFill="1" applyBorder="1" applyAlignment="1">
      <alignment horizontal="center" vertical="center"/>
    </xf>
    <xf numFmtId="0" fontId="40" fillId="34" borderId="31" xfId="45" applyFont="1" applyFill="1" applyBorder="1" applyAlignment="1">
      <alignment horizontal="left" vertical="center"/>
    </xf>
    <xf numFmtId="0" fontId="40" fillId="34" borderId="0" xfId="49" applyFont="1" applyFill="1" applyAlignment="1">
      <alignment horizontal="center" vertical="center"/>
    </xf>
    <xf numFmtId="0" fontId="0" fillId="34" borderId="0" xfId="0" applyFill="1"/>
    <xf numFmtId="0" fontId="40" fillId="34" borderId="0" xfId="45" applyFont="1" applyFill="1"/>
    <xf numFmtId="0" fontId="77" fillId="0" borderId="0" xfId="0" applyFont="1"/>
    <xf numFmtId="0" fontId="78" fillId="0" borderId="0" xfId="0" applyFont="1" applyAlignment="1">
      <alignment horizontal="center" vertical="center"/>
    </xf>
    <xf numFmtId="0" fontId="79" fillId="0" borderId="0" xfId="0" applyFont="1"/>
    <xf numFmtId="9" fontId="78" fillId="0" borderId="0" xfId="34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39" fillId="0" borderId="31" xfId="45" applyFont="1" applyBorder="1" applyAlignment="1">
      <alignment horizontal="center" vertical="center"/>
    </xf>
    <xf numFmtId="14" fontId="67" fillId="0" borderId="0" xfId="0" applyNumberFormat="1" applyFont="1" applyAlignment="1">
      <alignment horizontal="center" vertical="center"/>
    </xf>
    <xf numFmtId="0" fontId="81" fillId="0" borderId="32" xfId="0" applyFont="1" applyBorder="1" applyAlignment="1">
      <alignment vertical="center" wrapText="1"/>
    </xf>
    <xf numFmtId="0" fontId="81" fillId="0" borderId="70" xfId="0" applyFont="1" applyBorder="1" applyAlignment="1">
      <alignment vertical="center" wrapText="1"/>
    </xf>
    <xf numFmtId="0" fontId="81" fillId="0" borderId="78" xfId="0" applyFont="1" applyBorder="1" applyAlignment="1">
      <alignment vertical="center" wrapText="1"/>
    </xf>
    <xf numFmtId="0" fontId="82" fillId="55" borderId="0" xfId="0" applyFont="1" applyFill="1" applyAlignment="1">
      <alignment horizontal="center" vertical="center" wrapText="1"/>
    </xf>
    <xf numFmtId="0" fontId="83" fillId="56" borderId="0" xfId="0" applyFont="1" applyFill="1" applyAlignment="1">
      <alignment horizontal="center" vertical="center" wrapText="1"/>
    </xf>
    <xf numFmtId="0" fontId="84" fillId="56" borderId="0" xfId="0" applyFont="1" applyFill="1" applyAlignment="1">
      <alignment vertical="center" wrapText="1"/>
    </xf>
    <xf numFmtId="0" fontId="83" fillId="51" borderId="0" xfId="0" applyFont="1" applyFill="1" applyAlignment="1">
      <alignment horizontal="center" vertical="center" wrapText="1"/>
    </xf>
    <xf numFmtId="0" fontId="84" fillId="51" borderId="0" xfId="0" applyFont="1" applyFill="1" applyAlignment="1">
      <alignment vertical="center" wrapText="1"/>
    </xf>
    <xf numFmtId="171" fontId="84" fillId="51" borderId="0" xfId="0" applyNumberFormat="1" applyFont="1" applyFill="1" applyAlignment="1">
      <alignment vertical="center" wrapText="1"/>
    </xf>
    <xf numFmtId="171" fontId="84" fillId="56" borderId="0" xfId="0" applyNumberFormat="1" applyFont="1" applyFill="1" applyAlignment="1">
      <alignment vertical="center" wrapText="1"/>
    </xf>
    <xf numFmtId="17" fontId="57" fillId="55" borderId="0" xfId="49" applyNumberFormat="1" applyFont="1" applyFill="1" applyAlignment="1">
      <alignment horizontal="center" vertical="center"/>
    </xf>
    <xf numFmtId="17" fontId="40" fillId="0" borderId="0" xfId="49" applyNumberFormat="1" applyFont="1" applyAlignment="1">
      <alignment vertical="center"/>
    </xf>
    <xf numFmtId="17" fontId="40" fillId="0" borderId="0" xfId="49" applyNumberFormat="1" applyFont="1" applyAlignment="1">
      <alignment horizontal="center" vertical="center"/>
    </xf>
    <xf numFmtId="10" fontId="40" fillId="0" borderId="0" xfId="49" applyNumberFormat="1" applyFont="1" applyAlignment="1">
      <alignment horizontal="center" vertical="center"/>
    </xf>
    <xf numFmtId="4" fontId="40" fillId="0" borderId="0" xfId="49" applyNumberFormat="1" applyFont="1" applyAlignment="1">
      <alignment vertical="center"/>
    </xf>
    <xf numFmtId="172" fontId="40" fillId="0" borderId="0" xfId="49" applyNumberFormat="1" applyFont="1" applyAlignment="1">
      <alignment horizontal="center" vertical="center"/>
    </xf>
    <xf numFmtId="173" fontId="40" fillId="0" borderId="0" xfId="49" applyNumberFormat="1" applyFont="1" applyAlignment="1">
      <alignment vertical="center"/>
    </xf>
    <xf numFmtId="2" fontId="68" fillId="0" borderId="0" xfId="0" applyNumberFormat="1" applyFont="1" applyAlignment="1">
      <alignment horizontal="center" vertical="top"/>
    </xf>
    <xf numFmtId="0" fontId="69" fillId="55" borderId="37" xfId="0" applyFont="1" applyFill="1" applyBorder="1" applyAlignment="1">
      <alignment horizontal="center" vertical="top"/>
    </xf>
    <xf numFmtId="17" fontId="85" fillId="0" borderId="0" xfId="0" applyNumberFormat="1" applyFont="1" applyAlignment="1">
      <alignment horizontal="center" vertical="top" wrapText="1"/>
    </xf>
    <xf numFmtId="0" fontId="85" fillId="0" borderId="0" xfId="0" applyFont="1" applyAlignment="1">
      <alignment vertical="top"/>
    </xf>
    <xf numFmtId="2" fontId="71" fillId="34" borderId="43" xfId="36" applyNumberFormat="1" applyFont="1" applyFill="1" applyBorder="1" applyAlignment="1">
      <alignment horizontal="center" vertical="top"/>
    </xf>
    <xf numFmtId="4" fontId="71" fillId="34" borderId="43" xfId="36" applyNumberFormat="1" applyFont="1" applyFill="1" applyBorder="1" applyAlignment="1">
      <alignment horizontal="right" vertical="top"/>
    </xf>
    <xf numFmtId="44" fontId="85" fillId="0" borderId="0" xfId="79" applyFont="1" applyAlignment="1">
      <alignment horizontal="center" vertical="top"/>
    </xf>
    <xf numFmtId="44" fontId="85" fillId="0" borderId="0" xfId="79" applyFont="1" applyAlignment="1">
      <alignment vertical="top"/>
    </xf>
    <xf numFmtId="49" fontId="71" fillId="0" borderId="0" xfId="36" applyNumberFormat="1" applyFont="1" applyAlignment="1">
      <alignment horizontal="center" vertical="top"/>
    </xf>
    <xf numFmtId="0" fontId="70" fillId="35" borderId="0" xfId="45" applyFont="1" applyFill="1" applyAlignment="1">
      <alignment horizontal="right" vertical="top"/>
    </xf>
    <xf numFmtId="0" fontId="71" fillId="0" borderId="42" xfId="0" applyFont="1" applyBorder="1" applyAlignment="1">
      <alignment vertical="top"/>
    </xf>
    <xf numFmtId="0" fontId="72" fillId="0" borderId="42" xfId="0" applyFont="1" applyBorder="1" applyAlignment="1">
      <alignment vertical="top"/>
    </xf>
    <xf numFmtId="2" fontId="85" fillId="0" borderId="0" xfId="0" applyNumberFormat="1" applyFont="1" applyAlignment="1">
      <alignment horizontal="center" vertical="top"/>
    </xf>
    <xf numFmtId="0" fontId="85" fillId="0" borderId="0" xfId="0" applyFont="1" applyAlignment="1">
      <alignment horizontal="center" vertical="top"/>
    </xf>
    <xf numFmtId="1" fontId="68" fillId="0" borderId="43" xfId="36" applyNumberFormat="1" applyFont="1" applyFill="1" applyBorder="1" applyAlignment="1">
      <alignment horizontal="center" vertical="top" wrapText="1"/>
    </xf>
    <xf numFmtId="1" fontId="68" fillId="0" borderId="43" xfId="36" applyNumberFormat="1" applyFont="1" applyFill="1" applyBorder="1" applyAlignment="1">
      <alignment horizontal="center" vertical="top"/>
    </xf>
    <xf numFmtId="49" fontId="68" fillId="0" borderId="43" xfId="36" applyNumberFormat="1" applyFont="1" applyFill="1" applyBorder="1" applyAlignment="1">
      <alignment horizontal="center" vertical="top"/>
    </xf>
    <xf numFmtId="4" fontId="68" fillId="0" borderId="43" xfId="36" applyNumberFormat="1" applyFont="1" applyFill="1" applyBorder="1" applyAlignment="1">
      <alignment horizontal="center" vertical="top"/>
    </xf>
    <xf numFmtId="4" fontId="68" fillId="0" borderId="43" xfId="36" applyNumberFormat="1" applyFont="1" applyFill="1" applyBorder="1" applyAlignment="1">
      <alignment horizontal="right" vertical="top"/>
    </xf>
    <xf numFmtId="4" fontId="71" fillId="0" borderId="43" xfId="36" applyNumberFormat="1" applyFont="1" applyFill="1" applyBorder="1" applyAlignment="1">
      <alignment horizontal="right" vertical="top"/>
    </xf>
    <xf numFmtId="2" fontId="68" fillId="0" borderId="0" xfId="0" applyNumberFormat="1" applyFont="1" applyAlignment="1">
      <alignment horizontal="left" vertical="top"/>
    </xf>
    <xf numFmtId="4" fontId="71" fillId="0" borderId="42" xfId="36" applyNumberFormat="1" applyFont="1" applyFill="1" applyBorder="1" applyAlignment="1">
      <alignment horizontal="right" vertical="top"/>
    </xf>
    <xf numFmtId="4" fontId="22" fillId="55" borderId="56" xfId="0" applyNumberFormat="1" applyFont="1" applyFill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2" fillId="55" borderId="60" xfId="0" applyFont="1" applyFill="1" applyBorder="1" applyAlignment="1">
      <alignment vertical="center"/>
    </xf>
    <xf numFmtId="0" fontId="22" fillId="55" borderId="62" xfId="0" applyFont="1" applyFill="1" applyBorder="1" applyAlignment="1">
      <alignment vertical="center"/>
    </xf>
    <xf numFmtId="0" fontId="59" fillId="57" borderId="0" xfId="0" applyFont="1" applyFill="1" applyAlignment="1">
      <alignment horizontal="center" vertical="center" wrapText="1"/>
    </xf>
    <xf numFmtId="0" fontId="43" fillId="35" borderId="68" xfId="0" applyFont="1" applyFill="1" applyBorder="1" applyAlignment="1">
      <alignment horizontal="center" vertical="center" textRotation="90" wrapText="1"/>
    </xf>
    <xf numFmtId="168" fontId="44" fillId="34" borderId="43" xfId="45" applyNumberFormat="1" applyFont="1" applyFill="1" applyBorder="1" applyAlignment="1">
      <alignment horizontal="center" vertical="center" wrapText="1"/>
    </xf>
    <xf numFmtId="168" fontId="44" fillId="0" borderId="0" xfId="45" applyNumberFormat="1" applyFont="1" applyAlignment="1">
      <alignment horizontal="center" vertical="center"/>
    </xf>
    <xf numFmtId="168" fontId="73" fillId="40" borderId="35" xfId="45" applyNumberFormat="1" applyFont="1" applyFill="1" applyBorder="1" applyAlignment="1">
      <alignment vertical="center"/>
    </xf>
    <xf numFmtId="168" fontId="44" fillId="34" borderId="0" xfId="48" applyNumberFormat="1" applyFont="1" applyFill="1" applyAlignment="1">
      <alignment horizontal="center" vertical="center"/>
    </xf>
    <xf numFmtId="168" fontId="73" fillId="35" borderId="0" xfId="45" applyNumberFormat="1" applyFont="1" applyFill="1" applyAlignment="1">
      <alignment horizontal="left" vertical="center"/>
    </xf>
    <xf numFmtId="2" fontId="44" fillId="0" borderId="0" xfId="45" applyNumberFormat="1" applyFont="1" applyAlignment="1">
      <alignment horizontal="center" vertical="center"/>
    </xf>
    <xf numFmtId="2" fontId="73" fillId="40" borderId="35" xfId="45" applyNumberFormat="1" applyFont="1" applyFill="1" applyBorder="1" applyAlignment="1">
      <alignment vertical="center"/>
    </xf>
    <xf numFmtId="2" fontId="44" fillId="34" borderId="0" xfId="48" applyNumberFormat="1" applyFont="1" applyFill="1" applyAlignment="1">
      <alignment horizontal="center" vertical="center"/>
    </xf>
    <xf numFmtId="2" fontId="73" fillId="35" borderId="0" xfId="45" applyNumberFormat="1" applyFont="1" applyFill="1" applyAlignment="1">
      <alignment horizontal="left" vertical="center"/>
    </xf>
    <xf numFmtId="168" fontId="36" fillId="40" borderId="37" xfId="45" applyNumberFormat="1" applyFont="1" applyFill="1" applyBorder="1" applyAlignment="1">
      <alignment vertical="center"/>
    </xf>
    <xf numFmtId="168" fontId="46" fillId="35" borderId="32" xfId="45" applyNumberFormat="1" applyFont="1" applyFill="1" applyBorder="1" applyAlignment="1">
      <alignment horizontal="left" vertical="center"/>
    </xf>
    <xf numFmtId="168" fontId="46" fillId="35" borderId="0" xfId="45" applyNumberFormat="1" applyFont="1" applyFill="1" applyAlignment="1">
      <alignment horizontal="left" vertical="center"/>
    </xf>
    <xf numFmtId="168" fontId="44" fillId="34" borderId="0" xfId="48" applyNumberFormat="1" applyFont="1" applyFill="1" applyBorder="1" applyAlignment="1">
      <alignment horizontal="center" vertical="center"/>
    </xf>
    <xf numFmtId="3" fontId="43" fillId="44" borderId="46" xfId="51" applyNumberFormat="1" applyFont="1" applyFill="1" applyBorder="1" applyAlignment="1">
      <alignment horizontal="center" vertical="center"/>
    </xf>
    <xf numFmtId="166" fontId="38" fillId="44" borderId="47" xfId="51" applyNumberFormat="1" applyFont="1" applyFill="1" applyBorder="1" applyAlignment="1">
      <alignment horizontal="center" vertical="center"/>
    </xf>
    <xf numFmtId="14" fontId="74" fillId="0" borderId="0" xfId="45" applyNumberFormat="1" applyFont="1" applyAlignment="1">
      <alignment horizontal="right" vertical="top"/>
    </xf>
    <xf numFmtId="0" fontId="40" fillId="0" borderId="0" xfId="45" applyFont="1" applyAlignment="1">
      <alignment horizontal="left"/>
    </xf>
    <xf numFmtId="0" fontId="57" fillId="55" borderId="0" xfId="0" applyFont="1" applyFill="1" applyAlignment="1">
      <alignment horizontal="center" vertical="center" wrapText="1"/>
    </xf>
    <xf numFmtId="0" fontId="59" fillId="40" borderId="0" xfId="0" applyFont="1" applyFill="1" applyAlignment="1">
      <alignment horizontal="center" vertical="center" wrapText="1"/>
    </xf>
    <xf numFmtId="0" fontId="59" fillId="58" borderId="0" xfId="0" applyFont="1" applyFill="1" applyAlignment="1">
      <alignment horizontal="center" vertical="center" wrapText="1"/>
    </xf>
    <xf numFmtId="0" fontId="57" fillId="58" borderId="44" xfId="0" applyFont="1" applyFill="1" applyBorder="1" applyAlignment="1">
      <alignment horizontal="center" vertical="center" wrapText="1"/>
    </xf>
    <xf numFmtId="0" fontId="57" fillId="58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37" fillId="55" borderId="37" xfId="0" applyFont="1" applyFill="1" applyBorder="1" applyAlignment="1">
      <alignment horizontal="center" vertical="center"/>
    </xf>
    <xf numFmtId="0" fontId="43" fillId="37" borderId="41" xfId="51" applyFont="1" applyFill="1" applyBorder="1" applyAlignment="1">
      <alignment horizontal="left" vertical="center"/>
    </xf>
    <xf numFmtId="0" fontId="48" fillId="0" borderId="0" xfId="0" applyFont="1" applyAlignment="1">
      <alignment horizontal="left" vertical="top" wrapText="1"/>
    </xf>
    <xf numFmtId="0" fontId="69" fillId="55" borderId="0" xfId="0" applyFont="1" applyFill="1" applyAlignment="1">
      <alignment horizontal="center" vertical="top"/>
    </xf>
    <xf numFmtId="49" fontId="69" fillId="55" borderId="0" xfId="0" applyNumberFormat="1" applyFont="1" applyFill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2" fontId="85" fillId="0" borderId="0" xfId="0" applyNumberFormat="1" applyFont="1" applyAlignment="1">
      <alignment horizontal="center" vertical="center" wrapText="1"/>
    </xf>
    <xf numFmtId="0" fontId="68" fillId="34" borderId="42" xfId="0" applyFont="1" applyFill="1" applyBorder="1" applyAlignment="1">
      <alignment horizontal="left" vertical="top" wrapText="1"/>
    </xf>
    <xf numFmtId="0" fontId="68" fillId="34" borderId="43" xfId="0" applyFont="1" applyFill="1" applyBorder="1" applyAlignment="1">
      <alignment horizontal="left" vertical="top" wrapText="1"/>
    </xf>
    <xf numFmtId="0" fontId="71" fillId="0" borderId="0" xfId="0" applyFont="1" applyAlignment="1">
      <alignment horizontal="justify" vertical="top" wrapText="1"/>
    </xf>
    <xf numFmtId="0" fontId="68" fillId="0" borderId="0" xfId="0" applyFont="1" applyAlignment="1">
      <alignment horizontal="left" vertical="top" wrapText="1"/>
    </xf>
    <xf numFmtId="0" fontId="68" fillId="34" borderId="0" xfId="0" applyFont="1" applyFill="1" applyAlignment="1">
      <alignment horizontal="left" vertical="top" wrapText="1"/>
    </xf>
    <xf numFmtId="0" fontId="71" fillId="0" borderId="0" xfId="0" applyFont="1" applyAlignment="1">
      <alignment horizontal="left" vertical="top"/>
    </xf>
    <xf numFmtId="0" fontId="40" fillId="0" borderId="0" xfId="49" applyFont="1" applyAlignment="1">
      <alignment horizontal="center" vertical="center"/>
    </xf>
    <xf numFmtId="0" fontId="57" fillId="55" borderId="0" xfId="49" applyFont="1" applyFill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37" fillId="55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/>
    </xf>
    <xf numFmtId="0" fontId="7" fillId="49" borderId="50" xfId="0" applyFont="1" applyFill="1" applyBorder="1" applyAlignment="1">
      <alignment horizontal="center" vertical="center" wrapText="1"/>
    </xf>
    <xf numFmtId="0" fontId="7" fillId="49" borderId="7" xfId="0" applyFont="1" applyFill="1" applyBorder="1" applyAlignment="1">
      <alignment horizontal="center" vertical="center" wrapText="1"/>
    </xf>
    <xf numFmtId="0" fontId="7" fillId="49" borderId="51" xfId="0" applyFont="1" applyFill="1" applyBorder="1" applyAlignment="1">
      <alignment horizontal="center" vertical="center" wrapText="1"/>
    </xf>
    <xf numFmtId="0" fontId="47" fillId="55" borderId="0" xfId="49" applyFont="1" applyFill="1" applyAlignment="1">
      <alignment horizontal="center" vertical="center"/>
    </xf>
    <xf numFmtId="0" fontId="37" fillId="55" borderId="0" xfId="49" applyFont="1" applyFill="1" applyAlignment="1">
      <alignment horizontal="center" vertical="center" wrapText="1"/>
    </xf>
    <xf numFmtId="0" fontId="22" fillId="55" borderId="63" xfId="0" applyFont="1" applyFill="1" applyBorder="1" applyAlignment="1">
      <alignment horizontal="left" vertical="center"/>
    </xf>
    <xf numFmtId="0" fontId="22" fillId="55" borderId="64" xfId="0" applyFont="1" applyFill="1" applyBorder="1" applyAlignment="1">
      <alignment horizontal="left" vertical="center"/>
    </xf>
    <xf numFmtId="0" fontId="37" fillId="55" borderId="58" xfId="49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37" fillId="38" borderId="73" xfId="51" applyFont="1" applyFill="1" applyBorder="1" applyAlignment="1">
      <alignment horizontal="center" vertical="center" wrapText="1"/>
    </xf>
    <xf numFmtId="0" fontId="37" fillId="38" borderId="37" xfId="51" applyFont="1" applyFill="1" applyBorder="1" applyAlignment="1">
      <alignment horizontal="center" vertical="center" wrapText="1"/>
    </xf>
    <xf numFmtId="0" fontId="37" fillId="38" borderId="73" xfId="51" applyFont="1" applyFill="1" applyBorder="1" applyAlignment="1">
      <alignment horizontal="center" vertical="center"/>
    </xf>
    <xf numFmtId="0" fontId="37" fillId="38" borderId="37" xfId="51" applyFont="1" applyFill="1" applyBorder="1" applyAlignment="1">
      <alignment horizontal="center" vertical="center"/>
    </xf>
    <xf numFmtId="0" fontId="43" fillId="34" borderId="42" xfId="51" applyFont="1" applyFill="1" applyBorder="1" applyAlignment="1">
      <alignment horizontal="center" vertical="center"/>
    </xf>
    <xf numFmtId="0" fontId="43" fillId="0" borderId="8" xfId="51" applyFont="1" applyBorder="1" applyAlignment="1">
      <alignment horizontal="center" vertical="center"/>
    </xf>
    <xf numFmtId="0" fontId="43" fillId="0" borderId="71" xfId="51" applyFont="1" applyBorder="1" applyAlignment="1">
      <alignment horizontal="center" vertical="center"/>
    </xf>
    <xf numFmtId="0" fontId="43" fillId="34" borderId="43" xfId="51" applyFont="1" applyFill="1" applyBorder="1" applyAlignment="1">
      <alignment horizontal="center" vertical="center"/>
    </xf>
    <xf numFmtId="0" fontId="43" fillId="34" borderId="72" xfId="51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37" fillId="55" borderId="37" xfId="51" applyFont="1" applyFill="1" applyBorder="1" applyAlignment="1">
      <alignment horizontal="center" vertical="center" wrapText="1"/>
    </xf>
    <xf numFmtId="0" fontId="37" fillId="40" borderId="32" xfId="51" applyFont="1" applyFill="1" applyBorder="1" applyAlignment="1">
      <alignment horizontal="center" vertical="center"/>
    </xf>
    <xf numFmtId="0" fontId="37" fillId="55" borderId="32" xfId="51" applyFont="1" applyFill="1" applyBorder="1" applyAlignment="1">
      <alignment horizontal="center" vertical="center" wrapText="1"/>
    </xf>
    <xf numFmtId="0" fontId="43" fillId="34" borderId="42" xfId="51" applyFont="1" applyFill="1" applyBorder="1" applyAlignment="1">
      <alignment horizontal="left" vertical="center" wrapText="1"/>
    </xf>
    <xf numFmtId="2" fontId="43" fillId="34" borderId="44" xfId="51" applyNumberFormat="1" applyFont="1" applyFill="1" applyBorder="1" applyAlignment="1">
      <alignment horizontal="center" vertical="center"/>
    </xf>
    <xf numFmtId="2" fontId="43" fillId="34" borderId="0" xfId="51" applyNumberFormat="1" applyFont="1" applyFill="1" applyAlignment="1">
      <alignment horizontal="center" vertical="center"/>
    </xf>
    <xf numFmtId="2" fontId="43" fillId="34" borderId="43" xfId="51" applyNumberFormat="1" applyFont="1" applyFill="1" applyBorder="1" applyAlignment="1">
      <alignment horizontal="center" vertical="center"/>
    </xf>
    <xf numFmtId="0" fontId="39" fillId="37" borderId="43" xfId="51" applyFont="1" applyFill="1" applyBorder="1" applyAlignment="1">
      <alignment horizontal="center"/>
    </xf>
    <xf numFmtId="0" fontId="37" fillId="55" borderId="37" xfId="51" applyFont="1" applyFill="1" applyBorder="1" applyAlignment="1">
      <alignment horizontal="center" vertical="center"/>
    </xf>
    <xf numFmtId="0" fontId="37" fillId="55" borderId="0" xfId="51" applyFont="1" applyFill="1" applyAlignment="1">
      <alignment horizontal="left" vertical="center" wrapText="1"/>
    </xf>
    <xf numFmtId="0" fontId="37" fillId="55" borderId="43" xfId="51" applyFont="1" applyFill="1" applyBorder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36" fillId="55" borderId="35" xfId="0" applyFont="1" applyFill="1" applyBorder="1" applyAlignment="1">
      <alignment horizontal="center" vertical="center" wrapText="1"/>
    </xf>
    <xf numFmtId="0" fontId="36" fillId="55" borderId="32" xfId="0" applyFont="1" applyFill="1" applyBorder="1" applyAlignment="1">
      <alignment horizontal="center" vertical="center" wrapText="1"/>
    </xf>
    <xf numFmtId="0" fontId="36" fillId="55" borderId="37" xfId="0" applyFont="1" applyFill="1" applyBorder="1" applyAlignment="1">
      <alignment horizontal="center" vertical="center" wrapText="1"/>
    </xf>
    <xf numFmtId="0" fontId="36" fillId="55" borderId="32" xfId="0" applyFont="1" applyFill="1" applyBorder="1" applyAlignment="1">
      <alignment horizontal="center" vertical="center"/>
    </xf>
    <xf numFmtId="0" fontId="73" fillId="40" borderId="35" xfId="0" applyFont="1" applyFill="1" applyBorder="1" applyAlignment="1">
      <alignment horizontal="center" vertical="center" wrapText="1"/>
    </xf>
    <xf numFmtId="0" fontId="73" fillId="40" borderId="35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6" fillId="55" borderId="0" xfId="0" applyFont="1" applyFill="1" applyAlignment="1">
      <alignment horizontal="center" vertical="center" wrapText="1"/>
    </xf>
    <xf numFmtId="0" fontId="73" fillId="40" borderId="32" xfId="0" applyFont="1" applyFill="1" applyBorder="1" applyAlignment="1">
      <alignment horizontal="center" vertical="center" wrapText="1"/>
    </xf>
    <xf numFmtId="0" fontId="73" fillId="40" borderId="37" xfId="0" applyFont="1" applyFill="1" applyBorder="1" applyAlignment="1">
      <alignment horizontal="center" vertical="center" wrapText="1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55" borderId="37" xfId="45" applyNumberFormat="1" applyFont="1" applyFill="1" applyBorder="1" applyAlignment="1">
      <alignment horizontal="center" vertical="center" wrapText="1"/>
    </xf>
    <xf numFmtId="0" fontId="54" fillId="55" borderId="0" xfId="45" applyFont="1" applyFill="1" applyAlignment="1">
      <alignment horizontal="left" vertical="center" wrapText="1"/>
    </xf>
    <xf numFmtId="0" fontId="45" fillId="0" borderId="0" xfId="45" applyFont="1" applyAlignment="1">
      <alignment horizontal="justify" vertical="top" wrapText="1"/>
    </xf>
    <xf numFmtId="0" fontId="59" fillId="40" borderId="33" xfId="0" applyFont="1" applyFill="1" applyBorder="1" applyAlignment="1">
      <alignment horizontal="center" vertical="center" wrapText="1"/>
    </xf>
    <xf numFmtId="0" fontId="59" fillId="40" borderId="35" xfId="0" applyFont="1" applyFill="1" applyBorder="1" applyAlignment="1">
      <alignment horizontal="center" vertical="center" wrapText="1"/>
    </xf>
    <xf numFmtId="0" fontId="59" fillId="40" borderId="34" xfId="0" applyFont="1" applyFill="1" applyBorder="1" applyAlignment="1">
      <alignment horizontal="center" vertical="center" wrapText="1"/>
    </xf>
    <xf numFmtId="0" fontId="57" fillId="55" borderId="0" xfId="0" applyFont="1" applyFill="1" applyAlignment="1">
      <alignment horizontal="center" vertical="center" wrapText="1"/>
    </xf>
    <xf numFmtId="14" fontId="40" fillId="0" borderId="0" xfId="45" applyNumberFormat="1" applyFont="1" applyAlignment="1">
      <alignment horizontal="center"/>
    </xf>
    <xf numFmtId="4" fontId="39" fillId="0" borderId="0" xfId="45" applyNumberFormat="1" applyFont="1" applyAlignment="1">
      <alignment horizontal="center"/>
    </xf>
    <xf numFmtId="0" fontId="59" fillId="40" borderId="68" xfId="0" applyFont="1" applyFill="1" applyBorder="1" applyAlignment="1">
      <alignment horizontal="center" vertical="center" wrapText="1"/>
    </xf>
    <xf numFmtId="0" fontId="59" fillId="40" borderId="69" xfId="0" applyFont="1" applyFill="1" applyBorder="1" applyAlignment="1">
      <alignment horizontal="center" vertical="center" wrapText="1"/>
    </xf>
    <xf numFmtId="0" fontId="59" fillId="40" borderId="32" xfId="0" applyFont="1" applyFill="1" applyBorder="1" applyAlignment="1">
      <alignment horizontal="center" vertical="center" wrapText="1"/>
    </xf>
    <xf numFmtId="0" fontId="59" fillId="40" borderId="70" xfId="0" applyFont="1" applyFill="1" applyBorder="1" applyAlignment="1">
      <alignment horizontal="center" vertical="center" wrapText="1"/>
    </xf>
    <xf numFmtId="0" fontId="59" fillId="40" borderId="31" xfId="0" applyFont="1" applyFill="1" applyBorder="1" applyAlignment="1">
      <alignment horizontal="center" vertical="center"/>
    </xf>
    <xf numFmtId="0" fontId="59" fillId="40" borderId="37" xfId="0" applyFont="1" applyFill="1" applyBorder="1" applyAlignment="1">
      <alignment horizontal="center" vertical="center" wrapText="1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7" fillId="55" borderId="0" xfId="49" applyFont="1" applyFill="1" applyAlignment="1">
      <alignment horizontal="left" vertical="center"/>
    </xf>
    <xf numFmtId="0" fontId="57" fillId="36" borderId="0" xfId="49" applyFont="1" applyFill="1" applyAlignment="1">
      <alignment horizontal="right" vertical="center"/>
    </xf>
    <xf numFmtId="168" fontId="87" fillId="0" borderId="42" xfId="0" applyNumberFormat="1" applyFont="1" applyBorder="1" applyAlignment="1">
      <alignment horizontal="center" vertical="center"/>
    </xf>
    <xf numFmtId="0" fontId="87" fillId="0" borderId="42" xfId="0" applyFont="1" applyBorder="1" applyAlignment="1">
      <alignment vertical="center"/>
    </xf>
    <xf numFmtId="1" fontId="87" fillId="34" borderId="43" xfId="45" applyNumberFormat="1" applyFont="1" applyFill="1" applyBorder="1" applyAlignment="1">
      <alignment horizontal="center" vertical="center" wrapText="1"/>
    </xf>
    <xf numFmtId="0" fontId="87" fillId="34" borderId="42" xfId="45" applyFont="1" applyFill="1" applyBorder="1" applyAlignment="1">
      <alignment horizontal="center" vertical="center"/>
    </xf>
    <xf numFmtId="4" fontId="87" fillId="34" borderId="42" xfId="45" applyNumberFormat="1" applyFont="1" applyFill="1" applyBorder="1" applyAlignment="1">
      <alignment horizontal="center" vertical="center"/>
    </xf>
    <xf numFmtId="0" fontId="87" fillId="34" borderId="43" xfId="45" applyFont="1" applyFill="1" applyBorder="1" applyAlignment="1">
      <alignment horizontal="justify" vertical="center" wrapText="1"/>
    </xf>
    <xf numFmtId="4" fontId="87" fillId="34" borderId="42" xfId="45" applyNumberFormat="1" applyFont="1" applyFill="1" applyBorder="1" applyAlignment="1">
      <alignment horizontal="right" vertical="center"/>
    </xf>
    <xf numFmtId="4" fontId="87" fillId="34" borderId="43" xfId="45" applyNumberFormat="1" applyFont="1" applyFill="1" applyBorder="1" applyAlignment="1">
      <alignment horizontal="right" vertical="center"/>
    </xf>
    <xf numFmtId="10" fontId="88" fillId="34" borderId="42" xfId="46" applyNumberFormat="1" applyFont="1" applyFill="1" applyBorder="1" applyAlignment="1">
      <alignment horizontal="right" vertical="center"/>
    </xf>
    <xf numFmtId="0" fontId="89" fillId="0" borderId="0" xfId="45" applyFont="1" applyAlignment="1">
      <alignment vertical="top"/>
    </xf>
    <xf numFmtId="168" fontId="87" fillId="34" borderId="43" xfId="45" applyNumberFormat="1" applyFont="1" applyFill="1" applyBorder="1" applyAlignment="1">
      <alignment horizontal="center" vertical="center" wrapText="1"/>
    </xf>
    <xf numFmtId="2" fontId="87" fillId="34" borderId="43" xfId="45" applyNumberFormat="1" applyFont="1" applyFill="1" applyBorder="1" applyAlignment="1">
      <alignment horizontal="center" vertical="center" wrapText="1"/>
    </xf>
  </cellXfs>
  <cellStyles count="80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3" xfId="45" xr:uid="{00000000-0005-0000-0000-000031000000}"/>
    <cellStyle name="Normal 3 2" xfId="73" xr:uid="{00000000-0005-0000-0000-000032000000}"/>
    <cellStyle name="Normal 4" xfId="49" xr:uid="{00000000-0005-0000-0000-000033000000}"/>
    <cellStyle name="Normal 4 2" xfId="77" xr:uid="{00000000-0005-0000-0000-000034000000}"/>
    <cellStyle name="Normal 5" xfId="51" xr:uid="{00000000-0005-0000-0000-000035000000}"/>
    <cellStyle name="Normal 6" xfId="60" xr:uid="{00000000-0005-0000-0000-000036000000}"/>
    <cellStyle name="Normal 7" xfId="52" xr:uid="{00000000-0005-0000-0000-000037000000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3" xfId="50" xr:uid="{00000000-0005-0000-0000-00003C000000}"/>
    <cellStyle name="Porcentagem 3 2" xfId="78" xr:uid="{00000000-0005-0000-0000-00003D00000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3" xfId="71" xr:uid="{00000000-0005-0000-0000-00004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283844</xdr:colOff>
      <xdr:row>8</xdr:row>
      <xdr:rowOff>151902</xdr:rowOff>
    </xdr:from>
    <xdr:to>
      <xdr:col>6</xdr:col>
      <xdr:colOff>425136</xdr:colOff>
      <xdr:row>13</xdr:row>
      <xdr:rowOff>167640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AC63541-050E-BBDF-734E-55261CE74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19" y="1599702"/>
          <a:ext cx="211296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123265</xdr:rowOff>
    </xdr:from>
    <xdr:to>
      <xdr:col>1</xdr:col>
      <xdr:colOff>513565</xdr:colOff>
      <xdr:row>2</xdr:row>
      <xdr:rowOff>126160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C76D2A8-D444-450F-9B0C-F2BC910D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123265"/>
          <a:ext cx="1141095" cy="4959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105834</xdr:rowOff>
    </xdr:from>
    <xdr:to>
      <xdr:col>0</xdr:col>
      <xdr:colOff>1229572</xdr:colOff>
      <xdr:row>2</xdr:row>
      <xdr:rowOff>72621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0758BCE-4153-4069-B745-4FC87DA1E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05834"/>
          <a:ext cx="1144905" cy="4959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483870</xdr:colOff>
      <xdr:row>2</xdr:row>
      <xdr:rowOff>267354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738E443-B7A9-43F1-975F-668A89C6F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141095" cy="4959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285750</xdr:colOff>
      <xdr:row>2</xdr:row>
      <xdr:rowOff>225444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B84144-EB84-45CD-A232-EF9C25CDD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143000" cy="49214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117230</xdr:colOff>
      <xdr:row>0</xdr:row>
      <xdr:rowOff>58615</xdr:rowOff>
    </xdr:from>
    <xdr:to>
      <xdr:col>1</xdr:col>
      <xdr:colOff>375577</xdr:colOff>
      <xdr:row>2</xdr:row>
      <xdr:rowOff>232184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4C298C-7565-4083-A4AA-06704BAB1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0" y="58615"/>
          <a:ext cx="1144905" cy="4959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243840</xdr:colOff>
      <xdr:row>2</xdr:row>
      <xdr:rowOff>95904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684E346-A219-439B-9428-BD8B1CDC8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1148715" cy="4959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20955</xdr:colOff>
      <xdr:row>2</xdr:row>
      <xdr:rowOff>76854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564460A-4772-4B68-AE22-4F2839426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1144905" cy="4959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55766</xdr:colOff>
      <xdr:row>0</xdr:row>
      <xdr:rowOff>63560</xdr:rowOff>
    </xdr:from>
    <xdr:to>
      <xdr:col>1</xdr:col>
      <xdr:colOff>578456</xdr:colOff>
      <xdr:row>1</xdr:row>
      <xdr:rowOff>17318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61A520-B109-4587-AE15-E783F45FA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66" y="63560"/>
          <a:ext cx="869054" cy="38671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121226</xdr:colOff>
      <xdr:row>0</xdr:row>
      <xdr:rowOff>17319</xdr:rowOff>
    </xdr:from>
    <xdr:to>
      <xdr:col>1</xdr:col>
      <xdr:colOff>645821</xdr:colOff>
      <xdr:row>0</xdr:row>
      <xdr:rowOff>411652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864B47-4D9A-4897-ACA2-D61256B5A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6" y="17319"/>
          <a:ext cx="870959" cy="39433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86591</xdr:colOff>
      <xdr:row>0</xdr:row>
      <xdr:rowOff>51955</xdr:rowOff>
    </xdr:from>
    <xdr:to>
      <xdr:col>1</xdr:col>
      <xdr:colOff>613091</xdr:colOff>
      <xdr:row>1</xdr:row>
      <xdr:rowOff>7618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49C58EC-9A0C-490B-AB91-B18C60F9A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" y="51955"/>
          <a:ext cx="872864" cy="388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86590</xdr:colOff>
      <xdr:row>0</xdr:row>
      <xdr:rowOff>34637</xdr:rowOff>
    </xdr:from>
    <xdr:to>
      <xdr:col>1</xdr:col>
      <xdr:colOff>613090</xdr:colOff>
      <xdr:row>0</xdr:row>
      <xdr:rowOff>423255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312E672-7716-4632-80C4-6860CA6C8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" y="34637"/>
          <a:ext cx="872864" cy="38861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0</xdr:row>
      <xdr:rowOff>34637</xdr:rowOff>
    </xdr:from>
    <xdr:to>
      <xdr:col>1</xdr:col>
      <xdr:colOff>595772</xdr:colOff>
      <xdr:row>0</xdr:row>
      <xdr:rowOff>423255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47C9B49-B7B3-4809-B7F8-11718B4BB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34637"/>
          <a:ext cx="872864" cy="38861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69272</xdr:colOff>
      <xdr:row>0</xdr:row>
      <xdr:rowOff>86591</xdr:rowOff>
    </xdr:from>
    <xdr:to>
      <xdr:col>1</xdr:col>
      <xdr:colOff>595772</xdr:colOff>
      <xdr:row>1</xdr:row>
      <xdr:rowOff>42254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FA84A58-534E-40C6-82A1-D5CE89EBF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86591"/>
          <a:ext cx="872864" cy="38861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34637</xdr:rowOff>
    </xdr:from>
    <xdr:to>
      <xdr:col>1</xdr:col>
      <xdr:colOff>595773</xdr:colOff>
      <xdr:row>0</xdr:row>
      <xdr:rowOff>423255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142789-B6B5-4FA8-9F20-BFADBC71B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34637"/>
          <a:ext cx="872864" cy="38861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17319</xdr:rowOff>
    </xdr:from>
    <xdr:to>
      <xdr:col>1</xdr:col>
      <xdr:colOff>578455</xdr:colOff>
      <xdr:row>0</xdr:row>
      <xdr:rowOff>405937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71FA6FA-1374-4B59-AF3F-43A689A1B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17319"/>
          <a:ext cx="872864" cy="3886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34637</xdr:rowOff>
    </xdr:from>
    <xdr:to>
      <xdr:col>1</xdr:col>
      <xdr:colOff>595773</xdr:colOff>
      <xdr:row>0</xdr:row>
      <xdr:rowOff>423255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F2886F0-AAF9-4ACC-B081-093DE3834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34637"/>
          <a:ext cx="872864" cy="38861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103909</xdr:colOff>
      <xdr:row>0</xdr:row>
      <xdr:rowOff>51954</xdr:rowOff>
    </xdr:from>
    <xdr:to>
      <xdr:col>1</xdr:col>
      <xdr:colOff>630409</xdr:colOff>
      <xdr:row>1</xdr:row>
      <xdr:rowOff>7617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99B45B3-30B2-49FF-A980-3FE14408A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9" y="51954"/>
          <a:ext cx="872864" cy="3886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851735</xdr:colOff>
      <xdr:row>1</xdr:row>
      <xdr:rowOff>178895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F8EC97C-F13A-467A-BE0E-4F99EF762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1</xdr:col>
      <xdr:colOff>152774</xdr:colOff>
      <xdr:row>0</xdr:row>
      <xdr:rowOff>386713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99C9D61-AA52-43FE-9A7F-3A7A39E64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0"/>
          <a:ext cx="867149" cy="386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62865</xdr:rowOff>
    </xdr:from>
    <xdr:to>
      <xdr:col>2</xdr:col>
      <xdr:colOff>85657</xdr:colOff>
      <xdr:row>3</xdr:row>
      <xdr:rowOff>116205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67D956C-5B45-4C83-8DE6-5BA647BE0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865"/>
          <a:ext cx="13810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49531</xdr:colOff>
      <xdr:row>0</xdr:row>
      <xdr:rowOff>49530</xdr:rowOff>
    </xdr:from>
    <xdr:to>
      <xdr:col>1</xdr:col>
      <xdr:colOff>371476</xdr:colOff>
      <xdr:row>2</xdr:row>
      <xdr:rowOff>48279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0A4A2B-00A3-464D-B775-04C507B4D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1" y="49530"/>
          <a:ext cx="115062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52524</xdr:colOff>
      <xdr:row>0</xdr:row>
      <xdr:rowOff>0</xdr:rowOff>
    </xdr:from>
    <xdr:to>
      <xdr:col>1</xdr:col>
      <xdr:colOff>237037</xdr:colOff>
      <xdr:row>2</xdr:row>
      <xdr:rowOff>2287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7A3ED-5DBE-4714-9116-CB71D6DE9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4" y="0"/>
          <a:ext cx="1150620" cy="4921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601980</xdr:colOff>
      <xdr:row>1</xdr:row>
      <xdr:rowOff>103100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DD022DC-B2BC-4AFB-832D-0BCA4CD2B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582930" cy="255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72391</xdr:colOff>
      <xdr:row>0</xdr:row>
      <xdr:rowOff>91440</xdr:rowOff>
    </xdr:from>
    <xdr:to>
      <xdr:col>1</xdr:col>
      <xdr:colOff>171451</xdr:colOff>
      <xdr:row>2</xdr:row>
      <xdr:rowOff>43406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2BA2BD-3FFD-4259-A462-16D307814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1" y="91440"/>
          <a:ext cx="1032510" cy="4472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434340</xdr:colOff>
      <xdr:row>2</xdr:row>
      <xdr:rowOff>95904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8EC9B8C-BACA-4C52-BA09-D4C6C663F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148715" cy="495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ROJETOS\W.000567.0001%20-%20AGEVAP%20-%20Assessoria%20tec%20e%20admin%20Proj%20SES\14%20GerProj\05%20-%20ESTRAT&#201;GIA_02\00%20-%20TdRs\13.Or&#231;amento%20SES%20S&#227;o%20Gabriel%20da%20Palha_rev.2.xlsx" TargetMode="External"/><Relationship Id="rId1" Type="http://schemas.openxmlformats.org/officeDocument/2006/relationships/externalLinkPath" Target="OLD/13.Or&#231;amento%20SES%20S&#227;o%20Gabriel%20da%20Palha_rev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e-my.sharepoint.com/personal/xc6349_engie_com/Documents/AGEVAP/Est_2/001%20Or&#231;amento_SES%20S&#227;o%20Sebasti&#227;o%20do%20Rio%20Pr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a"/>
      <sheetName val="Orç_20-30"/>
      <sheetName val="Crono_20-30"/>
      <sheetName val="Definições"/>
      <sheetName val="Município"/>
      <sheetName val="Custos"/>
      <sheetName val="Coluna 39 FGV"/>
      <sheetName val="Dias trabalhados"/>
      <sheetName val="Encargos Sociais"/>
      <sheetName val="K"/>
      <sheetName val="Deslocamento"/>
      <sheetName val="Topografia para Projeto"/>
      <sheetName val="Cadastro Técnico"/>
      <sheetName val="Despesas diretas"/>
      <sheetName val="Horas trabalhadas"/>
      <sheetName val="Serviços"/>
      <sheetName val="P1"/>
      <sheetName val="P2"/>
      <sheetName val="P3"/>
      <sheetName val="P4"/>
      <sheetName val="P5"/>
      <sheetName val="P6"/>
      <sheetName val="P7a"/>
      <sheetName val="P7b"/>
      <sheetName val="P8"/>
      <sheetName val="Produto Consolidado"/>
      <sheetName val="Cronograma"/>
      <sheetName val="CPP"/>
      <sheetName val="P7"/>
    </sheetNames>
    <sheetDataSet>
      <sheetData sheetId="0">
        <row r="51">
          <cell r="C51">
            <v>45161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Orç_20-30"/>
      <sheetName val="Crono_20-30"/>
      <sheetName val="Definições"/>
      <sheetName val="Município"/>
      <sheetName val="Custos"/>
      <sheetName val="Dias trabalhados"/>
      <sheetName val="K"/>
      <sheetName val="Equipe"/>
      <sheetName val="Apoio técnico"/>
      <sheetName val="Apoio técnico - Cadastro"/>
      <sheetName val="Despesas diretas"/>
      <sheetName val="Horas"/>
      <sheetName val="Serviços"/>
      <sheetName val="P1"/>
      <sheetName val="P2"/>
      <sheetName val="P3"/>
      <sheetName val="P4"/>
      <sheetName val="P5"/>
      <sheetName val="P6"/>
      <sheetName val="Consolidado"/>
      <sheetName val="Cronograma"/>
      <sheetName val="CPP"/>
      <sheetName val="CPP em branco"/>
    </sheetNames>
    <sheetDataSet>
      <sheetData sheetId="0"/>
      <sheetData sheetId="1"/>
      <sheetData sheetId="2"/>
      <sheetData sheetId="3"/>
      <sheetData sheetId="4">
        <row r="5">
          <cell r="B5" t="str">
            <v>CBH DOCE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J144"/>
  <sheetViews>
    <sheetView showGridLines="0" view="pageBreakPreview" zoomScaleNormal="100" zoomScaleSheetLayoutView="100" zoomScalePageLayoutView="40" workbookViewId="0">
      <selection activeCell="B32" sqref="B32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618" t="s">
        <v>0</v>
      </c>
      <c r="B19" s="618"/>
      <c r="C19" s="618"/>
      <c r="D19" s="618"/>
      <c r="E19" s="618"/>
      <c r="F19" s="618"/>
      <c r="G19" s="618"/>
      <c r="H19" s="618"/>
      <c r="I19" s="618"/>
      <c r="J19" s="618"/>
    </row>
    <row r="20" spans="1:10" ht="14.45" customHeight="1">
      <c r="A20" s="618"/>
      <c r="B20" s="618"/>
      <c r="C20" s="618"/>
      <c r="D20" s="618"/>
      <c r="E20" s="618"/>
      <c r="F20" s="618"/>
      <c r="G20" s="618"/>
      <c r="H20" s="618"/>
      <c r="I20" s="618"/>
      <c r="J20" s="618"/>
    </row>
    <row r="21" spans="1:10" ht="14.45" customHeight="1">
      <c r="A21" s="618"/>
      <c r="B21" s="618"/>
      <c r="C21" s="618"/>
      <c r="D21" s="618"/>
      <c r="E21" s="618"/>
      <c r="F21" s="618"/>
      <c r="G21" s="618"/>
      <c r="H21" s="618"/>
      <c r="I21" s="618"/>
      <c r="J21" s="618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617" t="s">
        <v>1</v>
      </c>
      <c r="C25" s="617"/>
      <c r="D25" s="617"/>
      <c r="E25" s="617"/>
      <c r="F25" s="617"/>
      <c r="G25" s="617"/>
      <c r="H25" s="617"/>
      <c r="I25" s="617"/>
      <c r="J25" s="54"/>
    </row>
    <row r="26" spans="1:10" ht="14.45" customHeight="1">
      <c r="A26" s="54"/>
      <c r="B26" s="617"/>
      <c r="C26" s="617"/>
      <c r="D26" s="617"/>
      <c r="E26" s="617"/>
      <c r="F26" s="617"/>
      <c r="G26" s="617"/>
      <c r="H26" s="617"/>
      <c r="I26" s="617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617" t="s">
        <v>2</v>
      </c>
      <c r="C30" s="617"/>
      <c r="D30" s="617"/>
      <c r="E30" s="617"/>
      <c r="F30" s="617"/>
      <c r="G30" s="617"/>
      <c r="H30" s="617"/>
      <c r="I30" s="617"/>
      <c r="J30" s="54"/>
    </row>
    <row r="31" spans="1:10" ht="14.45" customHeight="1">
      <c r="A31" s="54"/>
      <c r="B31" s="617"/>
      <c r="C31" s="617"/>
      <c r="D31" s="617"/>
      <c r="E31" s="617"/>
      <c r="F31" s="617"/>
      <c r="G31" s="617"/>
      <c r="H31" s="617"/>
      <c r="I31" s="617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/>
    <row r="41" spans="1:10" ht="14.45" customHeight="1"/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616">
        <v>45166</v>
      </c>
      <c r="D51" s="616"/>
      <c r="E51" s="616"/>
      <c r="F51" s="616"/>
      <c r="G51" s="616"/>
      <c r="H51" s="616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4">
    <mergeCell ref="C51:H51"/>
    <mergeCell ref="B30:I31"/>
    <mergeCell ref="B25:I26"/>
    <mergeCell ref="A19:J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  <pageSetUpPr fitToPage="1"/>
  </sheetPr>
  <dimension ref="A1:N82"/>
  <sheetViews>
    <sheetView showGridLines="0" view="pageBreakPreview" topLeftCell="A3" zoomScaleSheetLayoutView="100" workbookViewId="0">
      <selection activeCell="C17" sqref="C17"/>
    </sheetView>
  </sheetViews>
  <sheetFormatPr defaultColWidth="9.140625" defaultRowHeight="15.75"/>
  <cols>
    <col min="1" max="1" width="11" style="83" customWidth="1"/>
    <col min="2" max="2" width="73.85546875" style="83" bestFit="1" customWidth="1"/>
    <col min="3" max="3" width="10.42578125" style="89" bestFit="1" customWidth="1"/>
    <col min="4" max="4" width="10.42578125" style="90" bestFit="1" customWidth="1"/>
    <col min="5" max="5" width="8.7109375" style="91" bestFit="1" customWidth="1"/>
    <col min="6" max="6" width="12.28515625" style="83" customWidth="1"/>
    <col min="7" max="7" width="9.140625" style="83"/>
    <col min="8" max="8" width="12.140625" style="83" customWidth="1"/>
    <col min="9" max="9" width="9.140625" style="83"/>
    <col min="10" max="10" width="10.5703125" style="83" bestFit="1" customWidth="1"/>
    <col min="11" max="11" width="9.28515625" style="83" bestFit="1" customWidth="1"/>
    <col min="12" max="12" width="11.140625" style="83" bestFit="1" customWidth="1"/>
    <col min="13" max="13" width="15.140625" style="83" bestFit="1" customWidth="1"/>
    <col min="14" max="14" width="54.28515625" style="83" bestFit="1" customWidth="1"/>
    <col min="15" max="15" width="15.140625" style="83" bestFit="1" customWidth="1"/>
    <col min="16" max="16" width="54.28515625" style="83" bestFit="1" customWidth="1"/>
    <col min="17" max="16384" width="9.140625" style="83"/>
  </cols>
  <sheetData>
    <row r="1" spans="1:8" ht="20.100000000000001" customHeight="1">
      <c r="A1" s="662" t="s">
        <v>0</v>
      </c>
      <c r="B1" s="662"/>
      <c r="C1" s="662"/>
      <c r="D1" s="662"/>
      <c r="E1" s="662"/>
      <c r="F1" s="662"/>
      <c r="G1" s="662"/>
      <c r="H1" s="662"/>
    </row>
    <row r="2" spans="1:8" ht="20.100000000000001" customHeight="1">
      <c r="A2" s="662"/>
      <c r="B2" s="662"/>
      <c r="C2" s="662"/>
      <c r="D2" s="662"/>
      <c r="E2" s="662"/>
      <c r="F2" s="662"/>
      <c r="G2" s="662"/>
      <c r="H2" s="662"/>
    </row>
    <row r="3" spans="1:8" ht="20.100000000000001" customHeight="1">
      <c r="A3" s="52"/>
      <c r="B3" s="52"/>
      <c r="C3" s="72"/>
      <c r="D3" s="72"/>
      <c r="E3" s="72"/>
      <c r="F3" s="72"/>
      <c r="G3" s="72"/>
      <c r="H3" s="72"/>
    </row>
    <row r="4" spans="1:8" ht="20.100000000000001" customHeight="1">
      <c r="A4" s="79" t="s">
        <v>747</v>
      </c>
      <c r="B4" s="79"/>
      <c r="C4" s="80"/>
      <c r="D4" s="53"/>
      <c r="E4" s="80"/>
      <c r="F4" s="80"/>
      <c r="G4" s="81" t="s">
        <v>134</v>
      </c>
      <c r="H4" s="63">
        <f>Município!H4</f>
        <v>45166</v>
      </c>
    </row>
    <row r="5" spans="1:8" ht="20.100000000000001" customHeight="1">
      <c r="A5" s="79" t="s">
        <v>135</v>
      </c>
      <c r="B5" s="82" t="str">
        <f>Município!B5</f>
        <v>CBH DOCE</v>
      </c>
      <c r="C5" s="83"/>
      <c r="D5" s="53"/>
      <c r="E5" s="80"/>
      <c r="F5" s="80"/>
      <c r="G5" s="80"/>
      <c r="H5" s="80"/>
    </row>
    <row r="6" spans="1:8" ht="20.100000000000001" customHeight="1">
      <c r="A6" s="79" t="s">
        <v>136</v>
      </c>
      <c r="B6" s="82" t="str">
        <f>Município!B6</f>
        <v>São Sebastião do Rio Preto/MG</v>
      </c>
      <c r="C6" s="83"/>
      <c r="D6" s="53"/>
      <c r="E6" s="80"/>
      <c r="G6" s="80"/>
      <c r="H6" s="80"/>
    </row>
    <row r="7" spans="1:8" ht="15" customHeight="1">
      <c r="A7" s="79"/>
      <c r="B7" s="79"/>
      <c r="C7" s="82"/>
      <c r="D7" s="53"/>
      <c r="E7" s="80"/>
      <c r="F7" s="80"/>
      <c r="G7" s="80"/>
      <c r="H7" s="80"/>
    </row>
    <row r="8" spans="1:8" ht="20.100000000000001" customHeight="1">
      <c r="A8" s="477" t="s">
        <v>260</v>
      </c>
      <c r="B8" s="478" t="s">
        <v>172</v>
      </c>
      <c r="C8" s="479" t="s">
        <v>261</v>
      </c>
      <c r="D8" s="479" t="s">
        <v>139</v>
      </c>
      <c r="E8" s="670" t="s">
        <v>262</v>
      </c>
      <c r="F8" s="670"/>
      <c r="G8" s="670"/>
      <c r="H8" s="670"/>
    </row>
    <row r="9" spans="1:8" ht="5.0999999999999996" customHeight="1">
      <c r="A9" s="84"/>
      <c r="B9" s="84"/>
      <c r="C9" s="85"/>
      <c r="D9" s="86"/>
      <c r="E9" s="87"/>
      <c r="F9" s="84"/>
      <c r="G9" s="84"/>
      <c r="H9" s="84"/>
    </row>
    <row r="10" spans="1:8" ht="20.100000000000001" customHeight="1">
      <c r="A10" s="197">
        <v>1</v>
      </c>
      <c r="B10" s="197" t="s">
        <v>263</v>
      </c>
      <c r="C10" s="98">
        <f>C17</f>
        <v>115.9357142857143</v>
      </c>
      <c r="D10" s="202"/>
      <c r="E10" s="202"/>
      <c r="F10" s="203"/>
      <c r="G10" s="203"/>
      <c r="H10" s="203"/>
    </row>
    <row r="11" spans="1:8" ht="20.100000000000001" customHeight="1">
      <c r="A11" s="198" t="s">
        <v>29</v>
      </c>
      <c r="B11" s="338" t="s">
        <v>264</v>
      </c>
      <c r="C11" s="93">
        <v>365</v>
      </c>
      <c r="D11" s="204" t="s">
        <v>265</v>
      </c>
      <c r="E11" s="199" t="s">
        <v>266</v>
      </c>
      <c r="F11" s="205"/>
      <c r="G11" s="205"/>
      <c r="H11" s="205"/>
    </row>
    <row r="12" spans="1:8" ht="20.100000000000001" customHeight="1">
      <c r="A12" s="198" t="s">
        <v>31</v>
      </c>
      <c r="B12" s="337" t="s">
        <v>267</v>
      </c>
      <c r="C12" s="93">
        <v>7</v>
      </c>
      <c r="D12" s="204" t="s">
        <v>265</v>
      </c>
      <c r="E12" s="199" t="s">
        <v>266</v>
      </c>
      <c r="F12" s="205"/>
      <c r="G12" s="205"/>
      <c r="H12" s="205"/>
    </row>
    <row r="13" spans="1:8" ht="20.100000000000001" customHeight="1">
      <c r="A13" s="198" t="s">
        <v>33</v>
      </c>
      <c r="B13" s="199" t="s">
        <v>268</v>
      </c>
      <c r="C13" s="93">
        <v>2</v>
      </c>
      <c r="D13" s="204" t="s">
        <v>265</v>
      </c>
      <c r="E13" s="199" t="s">
        <v>266</v>
      </c>
      <c r="F13" s="205"/>
      <c r="G13" s="205"/>
      <c r="H13" s="205"/>
    </row>
    <row r="14" spans="1:8" ht="20.100000000000001" customHeight="1">
      <c r="A14" s="198" t="s">
        <v>35</v>
      </c>
      <c r="B14" s="199" t="s">
        <v>269</v>
      </c>
      <c r="C14" s="94">
        <f>C11/C12</f>
        <v>52.142857142857146</v>
      </c>
      <c r="D14" s="204" t="s">
        <v>270</v>
      </c>
      <c r="E14" s="199" t="s">
        <v>149</v>
      </c>
      <c r="F14" s="205" t="s">
        <v>271</v>
      </c>
      <c r="G14" s="205"/>
      <c r="H14" s="205"/>
    </row>
    <row r="15" spans="1:8" ht="20.100000000000001" customHeight="1">
      <c r="A15" s="198" t="s">
        <v>37</v>
      </c>
      <c r="B15" s="199" t="s">
        <v>272</v>
      </c>
      <c r="C15" s="94">
        <f>C14*2</f>
        <v>104.28571428571429</v>
      </c>
      <c r="D15" s="204" t="s">
        <v>265</v>
      </c>
      <c r="E15" s="199" t="s">
        <v>149</v>
      </c>
      <c r="F15" s="205" t="s">
        <v>273</v>
      </c>
      <c r="G15" s="205"/>
      <c r="H15" s="205"/>
    </row>
    <row r="16" spans="1:8" ht="20.100000000000001" customHeight="1">
      <c r="A16" s="198" t="s">
        <v>39</v>
      </c>
      <c r="B16" s="199" t="s">
        <v>274</v>
      </c>
      <c r="C16" s="94">
        <v>11.65</v>
      </c>
      <c r="D16" s="204" t="s">
        <v>265</v>
      </c>
      <c r="E16" s="206"/>
      <c r="F16" s="207"/>
      <c r="G16" s="207"/>
      <c r="H16" s="207"/>
    </row>
    <row r="17" spans="1:8" ht="20.100000000000001" customHeight="1">
      <c r="A17" s="198" t="s">
        <v>41</v>
      </c>
      <c r="B17" s="199" t="s">
        <v>275</v>
      </c>
      <c r="C17" s="99">
        <f>C15+C16</f>
        <v>115.9357142857143</v>
      </c>
      <c r="D17" s="204" t="s">
        <v>265</v>
      </c>
      <c r="E17" s="199" t="s">
        <v>149</v>
      </c>
      <c r="F17" s="205" t="s">
        <v>276</v>
      </c>
      <c r="G17" s="205"/>
      <c r="H17" s="205"/>
    </row>
    <row r="18" spans="1:8" ht="5.0999999999999996" customHeight="1">
      <c r="A18" s="198"/>
      <c r="B18" s="198"/>
      <c r="C18" s="85"/>
      <c r="D18" s="204"/>
      <c r="E18" s="199"/>
      <c r="F18" s="205"/>
      <c r="G18" s="205"/>
      <c r="H18" s="205"/>
    </row>
    <row r="19" spans="1:8" ht="20.100000000000001" customHeight="1">
      <c r="A19" s="197">
        <v>2</v>
      </c>
      <c r="B19" s="197" t="s">
        <v>277</v>
      </c>
      <c r="C19" s="98">
        <f>C24</f>
        <v>166.04285714285712</v>
      </c>
      <c r="D19" s="202"/>
      <c r="E19" s="202"/>
      <c r="F19" s="203"/>
      <c r="G19" s="203"/>
      <c r="H19" s="203"/>
    </row>
    <row r="20" spans="1:8" ht="20.100000000000001" customHeight="1">
      <c r="A20" s="198" t="s">
        <v>47</v>
      </c>
      <c r="B20" s="199" t="s">
        <v>278</v>
      </c>
      <c r="C20" s="94">
        <f>C11-C17</f>
        <v>249.06428571428569</v>
      </c>
      <c r="D20" s="204" t="s">
        <v>265</v>
      </c>
      <c r="E20" s="199" t="s">
        <v>149</v>
      </c>
      <c r="F20" s="205" t="s">
        <v>279</v>
      </c>
      <c r="G20" s="205"/>
      <c r="H20" s="205"/>
    </row>
    <row r="21" spans="1:8" ht="20.100000000000001" customHeight="1">
      <c r="A21" s="198" t="s">
        <v>48</v>
      </c>
      <c r="B21" s="199" t="s">
        <v>280</v>
      </c>
      <c r="C21" s="93">
        <v>8</v>
      </c>
      <c r="D21" s="204" t="s">
        <v>281</v>
      </c>
      <c r="E21" s="199" t="s">
        <v>266</v>
      </c>
      <c r="F21" s="205" t="s">
        <v>282</v>
      </c>
      <c r="G21" s="205"/>
      <c r="H21" s="205"/>
    </row>
    <row r="22" spans="1:8" ht="20.100000000000001" customHeight="1">
      <c r="A22" s="198" t="s">
        <v>49</v>
      </c>
      <c r="B22" s="199" t="s">
        <v>283</v>
      </c>
      <c r="C22" s="94">
        <f>C20*C21</f>
        <v>1992.5142857142855</v>
      </c>
      <c r="D22" s="204" t="s">
        <v>281</v>
      </c>
      <c r="E22" s="199" t="s">
        <v>149</v>
      </c>
      <c r="F22" s="205" t="s">
        <v>284</v>
      </c>
      <c r="G22" s="205"/>
      <c r="H22" s="205"/>
    </row>
    <row r="23" spans="1:8" ht="20.100000000000001" customHeight="1">
      <c r="A23" s="198" t="s">
        <v>50</v>
      </c>
      <c r="B23" s="199" t="s">
        <v>285</v>
      </c>
      <c r="C23" s="93">
        <v>12</v>
      </c>
      <c r="D23" s="204" t="s">
        <v>103</v>
      </c>
      <c r="E23" s="199" t="s">
        <v>266</v>
      </c>
      <c r="F23" s="205"/>
      <c r="G23" s="205"/>
      <c r="H23" s="205"/>
    </row>
    <row r="24" spans="1:8" ht="20.100000000000001" customHeight="1">
      <c r="A24" s="198" t="s">
        <v>51</v>
      </c>
      <c r="B24" s="199" t="s">
        <v>286</v>
      </c>
      <c r="C24" s="99">
        <f>C22/C23</f>
        <v>166.04285714285712</v>
      </c>
      <c r="D24" s="204" t="s">
        <v>281</v>
      </c>
      <c r="E24" s="199" t="s">
        <v>149</v>
      </c>
      <c r="F24" s="205" t="s">
        <v>287</v>
      </c>
      <c r="G24" s="205"/>
      <c r="H24" s="205"/>
    </row>
    <row r="25" spans="1:8" ht="5.0999999999999996" customHeight="1">
      <c r="A25" s="198"/>
      <c r="B25" s="199"/>
      <c r="C25" s="85"/>
      <c r="D25" s="204"/>
      <c r="E25" s="199"/>
      <c r="F25" s="205"/>
      <c r="G25" s="205"/>
      <c r="H25" s="205"/>
    </row>
    <row r="26" spans="1:8" ht="20.100000000000001" customHeight="1">
      <c r="A26" s="197">
        <v>3</v>
      </c>
      <c r="B26" s="197" t="s">
        <v>288</v>
      </c>
      <c r="C26" s="98">
        <f>C27+C29+C31+C35+C40</f>
        <v>202.73972602739727</v>
      </c>
      <c r="D26" s="208" t="s">
        <v>289</v>
      </c>
      <c r="E26" s="208"/>
      <c r="F26" s="205" t="s">
        <v>290</v>
      </c>
      <c r="G26" s="205"/>
      <c r="H26" s="205"/>
    </row>
    <row r="27" spans="1:8" ht="20.100000000000001" customHeight="1">
      <c r="A27" s="200" t="s">
        <v>59</v>
      </c>
      <c r="B27" s="197" t="s">
        <v>291</v>
      </c>
      <c r="C27" s="96">
        <f>C21*(C28-((C28/C12)+(C28/C12)+(C28*(C16/C11))))</f>
        <v>163.76829745596871</v>
      </c>
      <c r="D27" s="204" t="s">
        <v>281</v>
      </c>
      <c r="E27" s="199" t="s">
        <v>149</v>
      </c>
      <c r="F27" s="205"/>
      <c r="G27" s="205"/>
      <c r="H27" s="205"/>
    </row>
    <row r="28" spans="1:8" ht="20.100000000000001" customHeight="1">
      <c r="A28" s="201" t="s">
        <v>292</v>
      </c>
      <c r="B28" s="199" t="s">
        <v>293</v>
      </c>
      <c r="C28" s="93">
        <v>30</v>
      </c>
      <c r="D28" s="204" t="s">
        <v>294</v>
      </c>
      <c r="E28" s="199" t="s">
        <v>266</v>
      </c>
      <c r="F28" s="205"/>
      <c r="G28" s="205"/>
      <c r="H28" s="205"/>
    </row>
    <row r="29" spans="1:8" ht="20.100000000000001" customHeight="1">
      <c r="A29" s="200" t="s">
        <v>60</v>
      </c>
      <c r="B29" s="197" t="s">
        <v>295</v>
      </c>
      <c r="C29" s="97">
        <f>C30*C21</f>
        <v>24</v>
      </c>
      <c r="D29" s="204" t="s">
        <v>281</v>
      </c>
      <c r="E29" s="199" t="s">
        <v>149</v>
      </c>
      <c r="F29" s="205" t="s">
        <v>296</v>
      </c>
      <c r="G29" s="205"/>
      <c r="H29" s="205"/>
    </row>
    <row r="30" spans="1:8" ht="20.100000000000001" customHeight="1">
      <c r="A30" s="201" t="s">
        <v>297</v>
      </c>
      <c r="B30" s="199" t="s">
        <v>298</v>
      </c>
      <c r="C30" s="93">
        <v>3</v>
      </c>
      <c r="D30" s="204" t="s">
        <v>294</v>
      </c>
      <c r="E30" s="204" t="s">
        <v>266</v>
      </c>
      <c r="F30" s="205"/>
      <c r="G30" s="205"/>
      <c r="H30" s="205"/>
    </row>
    <row r="31" spans="1:8" ht="20.100000000000001" customHeight="1">
      <c r="A31" s="200" t="s">
        <v>61</v>
      </c>
      <c r="B31" s="197" t="s">
        <v>299</v>
      </c>
      <c r="C31" s="96">
        <f>C21*(C33-C34)*(C32/100)</f>
        <v>8.571428571428573</v>
      </c>
      <c r="D31" s="204" t="s">
        <v>281</v>
      </c>
      <c r="E31" s="199" t="s">
        <v>149</v>
      </c>
      <c r="F31" s="205" t="s">
        <v>300</v>
      </c>
      <c r="G31" s="205"/>
      <c r="H31" s="205"/>
    </row>
    <row r="32" spans="1:8" ht="20.100000000000001" customHeight="1">
      <c r="A32" s="201" t="s">
        <v>301</v>
      </c>
      <c r="B32" s="199" t="s">
        <v>302</v>
      </c>
      <c r="C32" s="93">
        <v>10</v>
      </c>
      <c r="D32" s="204" t="s">
        <v>160</v>
      </c>
      <c r="E32" s="199" t="s">
        <v>266</v>
      </c>
      <c r="F32" s="205"/>
      <c r="G32" s="205"/>
      <c r="H32" s="205"/>
    </row>
    <row r="33" spans="1:8" ht="20.100000000000001" customHeight="1">
      <c r="A33" s="201" t="s">
        <v>303</v>
      </c>
      <c r="B33" s="199" t="s">
        <v>304</v>
      </c>
      <c r="C33" s="93">
        <v>15</v>
      </c>
      <c r="D33" s="204" t="s">
        <v>294</v>
      </c>
      <c r="E33" s="199" t="s">
        <v>266</v>
      </c>
      <c r="F33" s="205" t="s">
        <v>305</v>
      </c>
      <c r="G33" s="205"/>
      <c r="H33" s="205"/>
    </row>
    <row r="34" spans="1:8" ht="20.100000000000001" customHeight="1">
      <c r="A34" s="201" t="s">
        <v>306</v>
      </c>
      <c r="B34" s="199" t="s">
        <v>307</v>
      </c>
      <c r="C34" s="94">
        <f>(C33/C12)*C13</f>
        <v>4.2857142857142856</v>
      </c>
      <c r="D34" s="204" t="s">
        <v>294</v>
      </c>
      <c r="E34" s="199" t="s">
        <v>149</v>
      </c>
      <c r="F34" s="205" t="s">
        <v>308</v>
      </c>
      <c r="G34" s="205"/>
      <c r="H34" s="205"/>
    </row>
    <row r="35" spans="1:8" ht="20.100000000000001" customHeight="1">
      <c r="A35" s="200" t="s">
        <v>62</v>
      </c>
      <c r="B35" s="197" t="s">
        <v>309</v>
      </c>
      <c r="C35" s="96">
        <f>C36*C21*(C38/100)*(C39/100)*(C23/C37)</f>
        <v>3.2</v>
      </c>
      <c r="D35" s="204" t="s">
        <v>281</v>
      </c>
      <c r="E35" s="199" t="s">
        <v>149</v>
      </c>
      <c r="F35" s="205" t="s">
        <v>310</v>
      </c>
      <c r="G35" s="205"/>
      <c r="H35" s="205"/>
    </row>
    <row r="36" spans="1:8" ht="20.100000000000001" customHeight="1">
      <c r="A36" s="201" t="s">
        <v>311</v>
      </c>
      <c r="B36" s="199" t="s">
        <v>312</v>
      </c>
      <c r="C36" s="95">
        <f>C12-C13</f>
        <v>5</v>
      </c>
      <c r="D36" s="204" t="s">
        <v>294</v>
      </c>
      <c r="E36" s="199" t="s">
        <v>149</v>
      </c>
      <c r="F36" s="205" t="s">
        <v>313</v>
      </c>
      <c r="G36" s="205" t="s">
        <v>314</v>
      </c>
      <c r="H36" s="205"/>
    </row>
    <row r="37" spans="1:8" ht="20.100000000000001" customHeight="1">
      <c r="A37" s="201" t="s">
        <v>315</v>
      </c>
      <c r="B37" s="199" t="s">
        <v>316</v>
      </c>
      <c r="C37" s="93">
        <v>24</v>
      </c>
      <c r="D37" s="204" t="s">
        <v>103</v>
      </c>
      <c r="E37" s="199" t="s">
        <v>266</v>
      </c>
      <c r="F37" s="205"/>
      <c r="G37" s="205"/>
      <c r="H37" s="205"/>
    </row>
    <row r="38" spans="1:8" ht="20.100000000000001" customHeight="1">
      <c r="A38" s="201" t="s">
        <v>317</v>
      </c>
      <c r="B38" s="199" t="s">
        <v>318</v>
      </c>
      <c r="C38" s="93">
        <v>80</v>
      </c>
      <c r="D38" s="204" t="s">
        <v>160</v>
      </c>
      <c r="E38" s="199" t="s">
        <v>266</v>
      </c>
      <c r="F38" s="205"/>
      <c r="G38" s="205"/>
      <c r="H38" s="205"/>
    </row>
    <row r="39" spans="1:8" ht="20.100000000000001" customHeight="1">
      <c r="A39" s="201" t="s">
        <v>319</v>
      </c>
      <c r="B39" s="199" t="s">
        <v>320</v>
      </c>
      <c r="C39" s="93">
        <v>20</v>
      </c>
      <c r="D39" s="204" t="s">
        <v>160</v>
      </c>
      <c r="E39" s="199" t="s">
        <v>266</v>
      </c>
      <c r="F39" s="205"/>
      <c r="G39" s="205"/>
      <c r="H39" s="205"/>
    </row>
    <row r="40" spans="1:8" ht="20.100000000000001" customHeight="1">
      <c r="A40" s="200" t="s">
        <v>63</v>
      </c>
      <c r="B40" s="197" t="s">
        <v>321</v>
      </c>
      <c r="C40" s="96">
        <f>C41*C21*(C42/100)*(C43/100)</f>
        <v>3.2</v>
      </c>
      <c r="D40" s="204" t="s">
        <v>281</v>
      </c>
      <c r="E40" s="199" t="s">
        <v>149</v>
      </c>
      <c r="F40" s="205" t="s">
        <v>322</v>
      </c>
      <c r="G40" s="205"/>
      <c r="H40" s="205"/>
    </row>
    <row r="41" spans="1:8" ht="20.100000000000001" customHeight="1">
      <c r="A41" s="201" t="s">
        <v>323</v>
      </c>
      <c r="B41" s="199" t="s">
        <v>324</v>
      </c>
      <c r="C41" s="93">
        <v>5</v>
      </c>
      <c r="D41" s="204" t="s">
        <v>294</v>
      </c>
      <c r="E41" s="199" t="s">
        <v>266</v>
      </c>
      <c r="F41" s="205"/>
      <c r="G41" s="205"/>
      <c r="H41" s="205"/>
    </row>
    <row r="42" spans="1:8" ht="20.100000000000001" customHeight="1">
      <c r="A42" s="201" t="s">
        <v>325</v>
      </c>
      <c r="B42" s="199" t="s">
        <v>326</v>
      </c>
      <c r="C42" s="93">
        <v>80</v>
      </c>
      <c r="D42" s="204" t="s">
        <v>160</v>
      </c>
      <c r="E42" s="199" t="s">
        <v>266</v>
      </c>
      <c r="F42" s="205"/>
      <c r="G42" s="205"/>
      <c r="H42" s="205"/>
    </row>
    <row r="43" spans="1:8" ht="20.100000000000001" customHeight="1">
      <c r="A43" s="201" t="s">
        <v>327</v>
      </c>
      <c r="B43" s="199" t="s">
        <v>328</v>
      </c>
      <c r="C43" s="100">
        <v>10</v>
      </c>
      <c r="D43" s="204" t="s">
        <v>160</v>
      </c>
      <c r="E43" s="199" t="s">
        <v>266</v>
      </c>
      <c r="F43" s="205"/>
      <c r="G43" s="205"/>
      <c r="H43" s="205"/>
    </row>
    <row r="44" spans="1:8" ht="5.0999999999999996" customHeight="1">
      <c r="A44" s="198"/>
      <c r="B44" s="198"/>
      <c r="C44" s="85"/>
      <c r="D44" s="204"/>
      <c r="E44" s="199"/>
      <c r="F44" s="198"/>
      <c r="G44" s="198"/>
      <c r="H44" s="198"/>
    </row>
    <row r="45" spans="1:8" ht="20.100000000000001" customHeight="1">
      <c r="A45" s="197">
        <v>4</v>
      </c>
      <c r="B45" s="197" t="s">
        <v>329</v>
      </c>
      <c r="C45" s="92">
        <v>5</v>
      </c>
      <c r="D45" s="209" t="s">
        <v>289</v>
      </c>
      <c r="E45" s="199" t="s">
        <v>266</v>
      </c>
      <c r="F45" s="198"/>
      <c r="G45" s="198"/>
      <c r="H45" s="198"/>
    </row>
    <row r="46" spans="1:8" ht="5.0999999999999996" customHeight="1">
      <c r="A46" s="84"/>
      <c r="B46" s="84"/>
      <c r="C46" s="85"/>
      <c r="D46" s="86"/>
      <c r="E46" s="87"/>
      <c r="F46" s="84"/>
      <c r="G46" s="84"/>
      <c r="H46" s="84"/>
    </row>
    <row r="47" spans="1:8" ht="20.100000000000001" customHeight="1">
      <c r="A47" s="480" t="s">
        <v>330</v>
      </c>
      <c r="B47" s="481" t="s">
        <v>331</v>
      </c>
      <c r="C47" s="482">
        <f>C26+C45</f>
        <v>207.73972602739727</v>
      </c>
      <c r="D47" s="483" t="s">
        <v>289</v>
      </c>
      <c r="E47" s="484" t="s">
        <v>149</v>
      </c>
      <c r="F47" s="669" t="s">
        <v>332</v>
      </c>
      <c r="G47" s="669"/>
      <c r="H47" s="669"/>
    </row>
    <row r="48" spans="1:8" ht="20.100000000000001" customHeight="1">
      <c r="A48" s="480" t="s">
        <v>333</v>
      </c>
      <c r="B48" s="481" t="s">
        <v>334</v>
      </c>
      <c r="C48" s="482">
        <f>C22-C47</f>
        <v>1784.7745596868883</v>
      </c>
      <c r="D48" s="483" t="s">
        <v>289</v>
      </c>
      <c r="E48" s="484" t="s">
        <v>149</v>
      </c>
      <c r="F48" s="669" t="s">
        <v>335</v>
      </c>
      <c r="G48" s="669"/>
      <c r="H48" s="669"/>
    </row>
    <row r="49" spans="1:14" ht="20.100000000000001" customHeight="1">
      <c r="A49" s="480" t="s">
        <v>336</v>
      </c>
      <c r="B49" s="481" t="s">
        <v>337</v>
      </c>
      <c r="C49" s="482">
        <f>C48/C23</f>
        <v>148.73121330724069</v>
      </c>
      <c r="D49" s="483" t="s">
        <v>338</v>
      </c>
      <c r="E49" s="484" t="s">
        <v>149</v>
      </c>
      <c r="F49" s="669" t="s">
        <v>339</v>
      </c>
      <c r="G49" s="669"/>
      <c r="H49" s="669"/>
    </row>
    <row r="50" spans="1:14" ht="20.100000000000001" customHeight="1">
      <c r="A50" s="84"/>
      <c r="B50" s="84"/>
      <c r="C50" s="88"/>
      <c r="D50" s="86"/>
      <c r="E50" s="84"/>
      <c r="F50" s="84"/>
      <c r="G50" s="84"/>
      <c r="H50" s="84"/>
      <c r="J50" s="666" t="s">
        <v>340</v>
      </c>
      <c r="K50" s="667"/>
      <c r="L50" s="667"/>
      <c r="M50" s="667"/>
      <c r="N50" s="668"/>
    </row>
    <row r="51" spans="1:14" ht="20.100000000000001" customHeight="1">
      <c r="A51" s="84"/>
      <c r="B51" s="84"/>
      <c r="C51" s="88"/>
      <c r="D51" s="84"/>
      <c r="E51" s="84"/>
      <c r="F51" s="84"/>
      <c r="G51" s="84"/>
      <c r="H51" s="84"/>
      <c r="J51" s="297" t="s">
        <v>341</v>
      </c>
      <c r="K51" s="297" t="s">
        <v>342</v>
      </c>
      <c r="L51" s="297" t="s">
        <v>343</v>
      </c>
      <c r="M51" s="297" t="s">
        <v>344</v>
      </c>
      <c r="N51" s="297" t="s">
        <v>345</v>
      </c>
    </row>
    <row r="52" spans="1:14" ht="20.100000000000001" customHeight="1">
      <c r="A52" s="84"/>
      <c r="B52" s="84"/>
      <c r="C52" s="85"/>
      <c r="D52" s="84"/>
      <c r="E52" s="84"/>
      <c r="F52" s="84"/>
      <c r="G52" s="84"/>
      <c r="H52" s="84"/>
      <c r="J52" s="298">
        <v>1</v>
      </c>
      <c r="K52" s="298"/>
      <c r="L52" s="299">
        <v>44197</v>
      </c>
      <c r="M52" s="300" t="s">
        <v>346</v>
      </c>
      <c r="N52" s="300" t="s">
        <v>347</v>
      </c>
    </row>
    <row r="53" spans="1:14" ht="20.100000000000001" customHeight="1">
      <c r="A53" s="84"/>
      <c r="B53" s="84"/>
      <c r="C53" s="85"/>
      <c r="D53" s="84"/>
      <c r="E53" s="84"/>
      <c r="F53" s="84"/>
      <c r="G53" s="84"/>
      <c r="H53" s="84"/>
      <c r="J53" s="298"/>
      <c r="K53" s="298">
        <v>1</v>
      </c>
      <c r="L53" s="299">
        <v>44216</v>
      </c>
      <c r="M53" s="300" t="s">
        <v>348</v>
      </c>
      <c r="N53" s="300" t="s">
        <v>349</v>
      </c>
    </row>
    <row r="54" spans="1:14" ht="20.100000000000001" customHeight="1">
      <c r="A54" s="84"/>
      <c r="B54" s="84"/>
      <c r="C54" s="85"/>
      <c r="D54" s="84"/>
      <c r="E54" s="84"/>
      <c r="F54" s="84"/>
      <c r="G54" s="84"/>
      <c r="H54" s="84"/>
      <c r="J54" s="298"/>
      <c r="K54" s="298">
        <v>1</v>
      </c>
      <c r="L54" s="299">
        <v>44221</v>
      </c>
      <c r="M54" s="300" t="s">
        <v>350</v>
      </c>
      <c r="N54" s="300" t="s">
        <v>351</v>
      </c>
    </row>
    <row r="55" spans="1:14" ht="20.100000000000001" customHeight="1">
      <c r="A55" s="84"/>
      <c r="B55" s="84"/>
      <c r="C55" s="85"/>
      <c r="D55" s="84"/>
      <c r="E55" s="84"/>
      <c r="F55" s="84"/>
      <c r="G55" s="84"/>
      <c r="H55" s="84"/>
      <c r="J55" s="303">
        <v>1</v>
      </c>
      <c r="K55" s="303"/>
      <c r="L55" s="304">
        <v>44242</v>
      </c>
      <c r="M55" s="305" t="s">
        <v>350</v>
      </c>
      <c r="N55" s="305" t="s">
        <v>352</v>
      </c>
    </row>
    <row r="56" spans="1:14" ht="20.100000000000001" customHeight="1">
      <c r="A56" s="84"/>
      <c r="B56" s="84"/>
      <c r="C56" s="85"/>
      <c r="D56" s="84"/>
      <c r="E56" s="84"/>
      <c r="F56" s="84"/>
      <c r="G56" s="84"/>
      <c r="H56" s="84"/>
      <c r="J56" s="303">
        <v>1</v>
      </c>
      <c r="K56" s="303"/>
      <c r="L56" s="304">
        <v>44243</v>
      </c>
      <c r="M56" s="305" t="s">
        <v>353</v>
      </c>
      <c r="N56" s="305" t="s">
        <v>352</v>
      </c>
    </row>
    <row r="57" spans="1:14" ht="20.100000000000001" customHeight="1">
      <c r="A57" s="84"/>
      <c r="B57" s="84"/>
      <c r="C57" s="85"/>
      <c r="D57" s="84"/>
      <c r="E57" s="84"/>
      <c r="F57" s="84"/>
      <c r="G57" s="84"/>
      <c r="H57" s="84"/>
      <c r="J57" s="303"/>
      <c r="K57" s="303">
        <v>1</v>
      </c>
      <c r="L57" s="304">
        <v>44256</v>
      </c>
      <c r="M57" s="305" t="s">
        <v>350</v>
      </c>
      <c r="N57" s="300" t="s">
        <v>354</v>
      </c>
    </row>
    <row r="58" spans="1:14" ht="20.100000000000001" customHeight="1">
      <c r="A58" s="84"/>
      <c r="B58" s="84"/>
      <c r="C58" s="85"/>
      <c r="D58" s="84"/>
      <c r="E58" s="84"/>
      <c r="F58" s="84"/>
      <c r="G58" s="84"/>
      <c r="H58" s="84"/>
      <c r="J58" s="303">
        <v>1</v>
      </c>
      <c r="K58" s="306"/>
      <c r="L58" s="304">
        <v>44288</v>
      </c>
      <c r="M58" s="305" t="s">
        <v>346</v>
      </c>
      <c r="N58" s="305" t="s">
        <v>355</v>
      </c>
    </row>
    <row r="59" spans="1:14" ht="20.100000000000001" customHeight="1">
      <c r="A59" s="84"/>
      <c r="B59" s="84"/>
      <c r="C59" s="85"/>
      <c r="D59" s="84"/>
      <c r="E59" s="84"/>
      <c r="F59" s="84"/>
      <c r="G59" s="84"/>
      <c r="H59" s="84"/>
      <c r="J59" s="303">
        <v>1</v>
      </c>
      <c r="K59" s="303"/>
      <c r="L59" s="304">
        <v>44307</v>
      </c>
      <c r="M59" s="305" t="s">
        <v>348</v>
      </c>
      <c r="N59" s="305" t="s">
        <v>356</v>
      </c>
    </row>
    <row r="60" spans="1:14" ht="20.100000000000001" customHeight="1">
      <c r="A60" s="84"/>
      <c r="B60" s="84"/>
      <c r="C60" s="85"/>
      <c r="D60" s="84"/>
      <c r="E60" s="84"/>
      <c r="F60" s="84"/>
      <c r="G60" s="84"/>
      <c r="H60" s="84"/>
      <c r="J60" s="303"/>
      <c r="K60" s="303">
        <v>1</v>
      </c>
      <c r="L60" s="304">
        <v>44309</v>
      </c>
      <c r="M60" s="305" t="s">
        <v>346</v>
      </c>
      <c r="N60" s="305" t="s">
        <v>357</v>
      </c>
    </row>
    <row r="61" spans="1:14" ht="20.100000000000001" customHeight="1">
      <c r="D61" s="83"/>
      <c r="E61" s="83"/>
      <c r="J61" s="303">
        <v>0</v>
      </c>
      <c r="K61" s="303"/>
      <c r="L61" s="304">
        <v>43952</v>
      </c>
      <c r="M61" s="315" t="s">
        <v>358</v>
      </c>
      <c r="N61" s="305" t="s">
        <v>359</v>
      </c>
    </row>
    <row r="62" spans="1:14" ht="20.100000000000001" customHeight="1">
      <c r="D62" s="83"/>
      <c r="E62" s="83"/>
      <c r="J62" s="303">
        <v>1</v>
      </c>
      <c r="K62" s="303"/>
      <c r="L62" s="304">
        <v>44350</v>
      </c>
      <c r="M62" s="305" t="s">
        <v>360</v>
      </c>
      <c r="N62" s="305" t="s">
        <v>361</v>
      </c>
    </row>
    <row r="63" spans="1:14" ht="20.100000000000001" customHeight="1">
      <c r="D63" s="83"/>
      <c r="E63" s="83"/>
      <c r="J63" s="303"/>
      <c r="K63" s="303">
        <v>1</v>
      </c>
      <c r="L63" s="304">
        <v>44386</v>
      </c>
      <c r="M63" s="305" t="s">
        <v>346</v>
      </c>
      <c r="N63" s="305" t="s">
        <v>362</v>
      </c>
    </row>
    <row r="64" spans="1:14" ht="20.100000000000001" customHeight="1">
      <c r="D64" s="83"/>
      <c r="E64" s="83"/>
      <c r="J64" s="307"/>
      <c r="K64" s="307">
        <v>0</v>
      </c>
      <c r="L64" s="308">
        <v>44423</v>
      </c>
      <c r="M64" s="314" t="s">
        <v>363</v>
      </c>
      <c r="N64" s="309" t="s">
        <v>364</v>
      </c>
    </row>
    <row r="65" spans="3:14" ht="20.100000000000001" customHeight="1">
      <c r="D65" s="83"/>
      <c r="E65" s="83"/>
      <c r="J65" s="303">
        <v>1</v>
      </c>
      <c r="K65" s="303"/>
      <c r="L65" s="304">
        <v>44446</v>
      </c>
      <c r="M65" s="305" t="s">
        <v>353</v>
      </c>
      <c r="N65" s="305" t="s">
        <v>365</v>
      </c>
    </row>
    <row r="66" spans="3:14" ht="20.100000000000001" customHeight="1">
      <c r="D66" s="83"/>
      <c r="E66" s="83"/>
      <c r="J66" s="303">
        <v>1</v>
      </c>
      <c r="K66" s="303"/>
      <c r="L66" s="304">
        <v>44481</v>
      </c>
      <c r="M66" s="305" t="s">
        <v>353</v>
      </c>
      <c r="N66" s="305" t="s">
        <v>366</v>
      </c>
    </row>
    <row r="67" spans="3:14" ht="20.100000000000001" customHeight="1">
      <c r="J67" s="303"/>
      <c r="K67" s="303">
        <v>0</v>
      </c>
      <c r="L67" s="301">
        <v>44499</v>
      </c>
      <c r="M67" s="302" t="s">
        <v>358</v>
      </c>
      <c r="N67" s="309" t="s">
        <v>367</v>
      </c>
    </row>
    <row r="68" spans="3:14" ht="20.100000000000001" customHeight="1">
      <c r="J68" s="303">
        <v>1</v>
      </c>
      <c r="K68" s="303"/>
      <c r="L68" s="304">
        <v>44502</v>
      </c>
      <c r="M68" s="305" t="s">
        <v>353</v>
      </c>
      <c r="N68" s="305" t="s">
        <v>368</v>
      </c>
    </row>
    <row r="69" spans="3:14" ht="20.100000000000001" customHeight="1">
      <c r="J69" s="303">
        <v>1</v>
      </c>
      <c r="K69" s="303"/>
      <c r="L69" s="304">
        <v>44515</v>
      </c>
      <c r="M69" s="305" t="s">
        <v>350</v>
      </c>
      <c r="N69" s="305" t="s">
        <v>369</v>
      </c>
    </row>
    <row r="70" spans="3:14" ht="20.100000000000001" customHeight="1">
      <c r="J70" s="303"/>
      <c r="K70" s="303">
        <v>0</v>
      </c>
      <c r="L70" s="304">
        <v>44520</v>
      </c>
      <c r="M70" s="310" t="s">
        <v>358</v>
      </c>
      <c r="N70" s="305" t="s">
        <v>370</v>
      </c>
    </row>
    <row r="71" spans="3:14" ht="20.100000000000001" customHeight="1">
      <c r="C71" s="83"/>
      <c r="D71" s="83"/>
      <c r="E71" s="83"/>
      <c r="J71" s="311">
        <v>0</v>
      </c>
      <c r="K71" s="311">
        <v>1</v>
      </c>
      <c r="L71" s="312">
        <v>44538</v>
      </c>
      <c r="M71" s="313" t="s">
        <v>348</v>
      </c>
      <c r="N71" s="313" t="s">
        <v>371</v>
      </c>
    </row>
    <row r="72" spans="3:14" ht="20.100000000000001" customHeight="1">
      <c r="C72" s="83"/>
      <c r="D72" s="83"/>
      <c r="E72" s="83"/>
      <c r="J72" s="311"/>
      <c r="K72" s="311">
        <v>0</v>
      </c>
      <c r="L72" s="312">
        <v>44542</v>
      </c>
      <c r="M72" s="322" t="s">
        <v>363</v>
      </c>
      <c r="N72" s="313" t="s">
        <v>372</v>
      </c>
    </row>
    <row r="73" spans="3:14" ht="20.100000000000001" customHeight="1">
      <c r="C73" s="83"/>
      <c r="D73" s="83"/>
      <c r="E73" s="83"/>
      <c r="J73" s="303">
        <v>0</v>
      </c>
      <c r="K73" s="303"/>
      <c r="L73" s="304">
        <v>44555</v>
      </c>
      <c r="M73" s="310" t="s">
        <v>358</v>
      </c>
      <c r="N73" s="305" t="s">
        <v>373</v>
      </c>
    </row>
    <row r="74" spans="3:14" ht="20.100000000000001" customHeight="1">
      <c r="C74" s="83"/>
      <c r="D74" s="83"/>
      <c r="E74" s="83"/>
    </row>
    <row r="75" spans="3:14" ht="20.100000000000001" customHeight="1">
      <c r="C75" s="83"/>
      <c r="D75" s="83"/>
      <c r="E75" s="83"/>
    </row>
    <row r="76" spans="3:14" ht="20.100000000000001" customHeight="1">
      <c r="C76" s="83"/>
      <c r="D76" s="83"/>
      <c r="E76" s="83"/>
    </row>
    <row r="77" spans="3:14" ht="20.100000000000001" customHeight="1">
      <c r="C77" s="83"/>
      <c r="D77" s="83"/>
      <c r="E77" s="83"/>
    </row>
    <row r="78" spans="3:14" ht="20.100000000000001" customHeight="1">
      <c r="C78" s="83"/>
      <c r="D78" s="83"/>
      <c r="E78" s="83"/>
    </row>
    <row r="79" spans="3:14" ht="20.100000000000001" customHeight="1">
      <c r="C79" s="83"/>
      <c r="D79" s="83"/>
      <c r="E79" s="83"/>
    </row>
    <row r="80" spans="3:14" ht="20.100000000000001" customHeight="1">
      <c r="C80" s="83"/>
      <c r="D80" s="83"/>
      <c r="E80" s="83"/>
    </row>
    <row r="81" s="83" customFormat="1" ht="20.100000000000001" customHeight="1"/>
    <row r="82" s="83" customFormat="1" ht="20.100000000000001" customHeight="1"/>
  </sheetData>
  <mergeCells count="6">
    <mergeCell ref="J50:N50"/>
    <mergeCell ref="A1:H2"/>
    <mergeCell ref="F47:H47"/>
    <mergeCell ref="F48:H48"/>
    <mergeCell ref="F49:H49"/>
    <mergeCell ref="E8:H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B06D-55EA-480E-A333-6BEC2AA21803}">
  <sheetPr>
    <tabColor theme="8" tint="-0.249977111117893"/>
    <pageSetUpPr fitToPage="1"/>
  </sheetPr>
  <dimension ref="A1:K28"/>
  <sheetViews>
    <sheetView showGridLines="0" view="pageBreakPreview" zoomScale="85" zoomScaleNormal="130" zoomScaleSheetLayoutView="85" workbookViewId="0">
      <selection activeCell="I27" sqref="I27"/>
    </sheetView>
  </sheetViews>
  <sheetFormatPr defaultColWidth="9.140625" defaultRowHeight="20.25" customHeight="1"/>
  <cols>
    <col min="1" max="1" width="11.28515625" style="73" customWidth="1"/>
    <col min="2" max="2" width="28" style="73" bestFit="1" customWidth="1"/>
    <col min="3" max="3" width="12" style="73" customWidth="1"/>
    <col min="4" max="4" width="18.5703125" style="73" customWidth="1"/>
    <col min="5" max="5" width="15.140625" style="73" bestFit="1" customWidth="1"/>
    <col min="6" max="6" width="15.7109375" style="73" customWidth="1"/>
    <col min="7" max="7" width="12.42578125" customWidth="1"/>
    <col min="8" max="8" width="12.140625" bestFit="1" customWidth="1"/>
    <col min="9" max="9" width="14.7109375" bestFit="1" customWidth="1"/>
    <col min="10" max="10" width="11.85546875" bestFit="1" customWidth="1"/>
  </cols>
  <sheetData>
    <row r="1" spans="1:11" ht="20.25" customHeight="1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</row>
    <row r="2" spans="1:11" ht="20.25" customHeight="1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</row>
    <row r="3" spans="1:11" ht="20.25" customHeight="1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20.25" customHeight="1">
      <c r="A4" s="290" t="s">
        <v>374</v>
      </c>
      <c r="B4" s="59"/>
      <c r="C4" s="59"/>
      <c r="D4" s="60"/>
      <c r="E4" s="62"/>
      <c r="F4" s="291"/>
      <c r="I4" s="62" t="s">
        <v>134</v>
      </c>
      <c r="J4" s="291">
        <f>Município!H4</f>
        <v>45166</v>
      </c>
    </row>
    <row r="5" spans="1:11" ht="20.25" customHeight="1">
      <c r="A5" s="59" t="s">
        <v>135</v>
      </c>
      <c r="B5" s="64" t="str">
        <f>Município!B5</f>
        <v>CBH DOCE</v>
      </c>
      <c r="C5" s="83"/>
      <c r="D5" s="53"/>
      <c r="E5" s="60"/>
      <c r="F5" s="60"/>
    </row>
    <row r="6" spans="1:11" ht="20.25" customHeight="1" thickBot="1">
      <c r="A6" s="59" t="s">
        <v>136</v>
      </c>
      <c r="B6" s="64" t="str">
        <f>Município!B6</f>
        <v>São Sebastião do Rio Preto/MG</v>
      </c>
      <c r="C6" s="83"/>
      <c r="D6" s="53"/>
      <c r="F6" s="60"/>
    </row>
    <row r="7" spans="1:11" ht="50.25" customHeight="1" thickBot="1">
      <c r="A7" s="673" t="s">
        <v>260</v>
      </c>
      <c r="B7" s="673" t="s">
        <v>375</v>
      </c>
      <c r="C7" s="673" t="s">
        <v>376</v>
      </c>
      <c r="D7" s="485" t="s">
        <v>377</v>
      </c>
      <c r="E7" s="486" t="s">
        <v>378</v>
      </c>
      <c r="F7" s="486" t="s">
        <v>379</v>
      </c>
      <c r="G7" s="485" t="s">
        <v>380</v>
      </c>
      <c r="H7" s="487" t="s">
        <v>381</v>
      </c>
      <c r="I7" s="485" t="s">
        <v>382</v>
      </c>
      <c r="J7" s="485" t="s">
        <v>383</v>
      </c>
      <c r="K7" s="488" t="s">
        <v>118</v>
      </c>
    </row>
    <row r="8" spans="1:11" ht="20.25" customHeight="1">
      <c r="A8" s="673"/>
      <c r="B8" s="673"/>
      <c r="C8" s="673"/>
      <c r="D8" s="489" t="s">
        <v>168</v>
      </c>
      <c r="E8" s="489" t="s">
        <v>168</v>
      </c>
      <c r="F8" s="489" t="s">
        <v>265</v>
      </c>
      <c r="G8" s="489" t="s">
        <v>384</v>
      </c>
      <c r="H8" s="490" t="s">
        <v>384</v>
      </c>
      <c r="I8" s="490" t="s">
        <v>384</v>
      </c>
      <c r="J8" s="490" t="s">
        <v>384</v>
      </c>
      <c r="K8" s="490" t="s">
        <v>384</v>
      </c>
    </row>
    <row r="9" spans="1:11" ht="20.25" customHeight="1">
      <c r="A9" s="339">
        <v>1</v>
      </c>
      <c r="B9" s="340" t="s">
        <v>386</v>
      </c>
      <c r="C9" s="339" t="s">
        <v>385</v>
      </c>
      <c r="D9" s="341">
        <v>228</v>
      </c>
      <c r="E9" s="341">
        <f>(D9*2)+($C$25*F9)</f>
        <v>476</v>
      </c>
      <c r="F9" s="342">
        <v>1</v>
      </c>
      <c r="G9" s="343">
        <f t="shared" ref="G9:G18" si="0">$K$20/30</f>
        <v>83.324144316637188</v>
      </c>
      <c r="H9" s="343">
        <f t="shared" ref="H9:H18" si="1">(E9/$C$26)*$C$27</f>
        <v>268.94</v>
      </c>
      <c r="I9" s="343">
        <v>0</v>
      </c>
      <c r="J9" s="343">
        <f t="shared" ref="J9" si="2">(G9+H9+I9)*$C$28</f>
        <v>17.61320721583186</v>
      </c>
      <c r="K9" s="344">
        <f t="shared" ref="K9" si="3">G9+H9+I9+J9</f>
        <v>369.87735153246899</v>
      </c>
    </row>
    <row r="10" spans="1:11" ht="20.25" customHeight="1">
      <c r="A10" s="339"/>
      <c r="B10" s="340"/>
      <c r="C10" s="339" t="s">
        <v>385</v>
      </c>
      <c r="D10" s="341">
        <v>228</v>
      </c>
      <c r="E10" s="341">
        <f t="shared" ref="E10:E18" si="4">(D10*2)+($C$25*F10)</f>
        <v>496</v>
      </c>
      <c r="F10" s="342">
        <v>2</v>
      </c>
      <c r="G10" s="343">
        <f t="shared" si="0"/>
        <v>83.324144316637188</v>
      </c>
      <c r="H10" s="343">
        <f t="shared" si="1"/>
        <v>280.24</v>
      </c>
      <c r="I10" s="343">
        <v>0</v>
      </c>
      <c r="J10" s="343">
        <f t="shared" ref="J10:J18" si="5">(G10+H10+I10)*$C$28</f>
        <v>18.178207215831861</v>
      </c>
      <c r="K10" s="344">
        <f t="shared" ref="K10:K18" si="6">G10+H10+I10+J10</f>
        <v>381.74235153246912</v>
      </c>
    </row>
    <row r="11" spans="1:11" ht="20.25" customHeight="1">
      <c r="A11" s="339"/>
      <c r="B11" s="340"/>
      <c r="C11" s="339" t="s">
        <v>385</v>
      </c>
      <c r="D11" s="341">
        <v>228</v>
      </c>
      <c r="E11" s="341">
        <f t="shared" si="4"/>
        <v>516</v>
      </c>
      <c r="F11" s="342">
        <v>3</v>
      </c>
      <c r="G11" s="343">
        <f t="shared" si="0"/>
        <v>83.324144316637188</v>
      </c>
      <c r="H11" s="343">
        <f t="shared" si="1"/>
        <v>291.54000000000002</v>
      </c>
      <c r="I11" s="343">
        <v>0</v>
      </c>
      <c r="J11" s="343">
        <f t="shared" si="5"/>
        <v>18.743207215831859</v>
      </c>
      <c r="K11" s="344">
        <f t="shared" si="6"/>
        <v>393.60735153246901</v>
      </c>
    </row>
    <row r="12" spans="1:11" ht="20.25" customHeight="1">
      <c r="A12" s="339"/>
      <c r="B12" s="340"/>
      <c r="C12" s="339" t="s">
        <v>385</v>
      </c>
      <c r="D12" s="341">
        <v>228</v>
      </c>
      <c r="E12" s="341">
        <f t="shared" si="4"/>
        <v>536</v>
      </c>
      <c r="F12" s="342">
        <v>4</v>
      </c>
      <c r="G12" s="343">
        <f t="shared" si="0"/>
        <v>83.324144316637188</v>
      </c>
      <c r="H12" s="343">
        <f t="shared" si="1"/>
        <v>302.84000000000003</v>
      </c>
      <c r="I12" s="343">
        <v>0</v>
      </c>
      <c r="J12" s="343">
        <f t="shared" si="5"/>
        <v>19.308207215831864</v>
      </c>
      <c r="K12" s="344">
        <f t="shared" si="6"/>
        <v>405.47235153246913</v>
      </c>
    </row>
    <row r="13" spans="1:11" ht="20.25" customHeight="1">
      <c r="A13" s="339"/>
      <c r="B13" s="340"/>
      <c r="C13" s="339" t="s">
        <v>385</v>
      </c>
      <c r="D13" s="341">
        <v>228</v>
      </c>
      <c r="E13" s="341">
        <f t="shared" si="4"/>
        <v>556</v>
      </c>
      <c r="F13" s="342">
        <v>5</v>
      </c>
      <c r="G13" s="343">
        <f t="shared" si="0"/>
        <v>83.324144316637188</v>
      </c>
      <c r="H13" s="343">
        <f t="shared" si="1"/>
        <v>314.14000000000004</v>
      </c>
      <c r="I13" s="343">
        <v>0</v>
      </c>
      <c r="J13" s="343">
        <f t="shared" si="5"/>
        <v>19.873207215831862</v>
      </c>
      <c r="K13" s="344">
        <f t="shared" si="6"/>
        <v>417.33735153246909</v>
      </c>
    </row>
    <row r="14" spans="1:11" ht="20.25" customHeight="1">
      <c r="A14" s="339"/>
      <c r="B14" s="340"/>
      <c r="C14" s="339" t="s">
        <v>385</v>
      </c>
      <c r="D14" s="341">
        <v>228</v>
      </c>
      <c r="E14" s="341">
        <f t="shared" si="4"/>
        <v>576</v>
      </c>
      <c r="F14" s="342">
        <v>6</v>
      </c>
      <c r="G14" s="343">
        <f t="shared" si="0"/>
        <v>83.324144316637188</v>
      </c>
      <c r="H14" s="343">
        <f t="shared" si="1"/>
        <v>325.44000000000005</v>
      </c>
      <c r="I14" s="343">
        <v>0</v>
      </c>
      <c r="J14" s="343">
        <f t="shared" si="5"/>
        <v>20.438207215831866</v>
      </c>
      <c r="K14" s="344">
        <f t="shared" si="6"/>
        <v>429.20235153246915</v>
      </c>
    </row>
    <row r="15" spans="1:11" ht="20.25" customHeight="1">
      <c r="A15" s="339"/>
      <c r="B15" s="340"/>
      <c r="C15" s="339" t="s">
        <v>385</v>
      </c>
      <c r="D15" s="341">
        <v>228</v>
      </c>
      <c r="E15" s="341">
        <f t="shared" si="4"/>
        <v>596</v>
      </c>
      <c r="F15" s="342">
        <v>7</v>
      </c>
      <c r="G15" s="343">
        <f t="shared" si="0"/>
        <v>83.324144316637188</v>
      </c>
      <c r="H15" s="343">
        <f t="shared" si="1"/>
        <v>336.74</v>
      </c>
      <c r="I15" s="343">
        <v>0</v>
      </c>
      <c r="J15" s="343">
        <f t="shared" si="5"/>
        <v>21.003207215831864</v>
      </c>
      <c r="K15" s="344">
        <f t="shared" si="6"/>
        <v>441.0673515324691</v>
      </c>
    </row>
    <row r="16" spans="1:11" ht="20.25" customHeight="1">
      <c r="A16" s="339"/>
      <c r="B16" s="340"/>
      <c r="C16" s="339" t="s">
        <v>385</v>
      </c>
      <c r="D16" s="341">
        <v>228</v>
      </c>
      <c r="E16" s="341">
        <f t="shared" si="4"/>
        <v>616</v>
      </c>
      <c r="F16" s="342">
        <v>8</v>
      </c>
      <c r="G16" s="343">
        <f t="shared" si="0"/>
        <v>83.324144316637188</v>
      </c>
      <c r="H16" s="343">
        <f t="shared" si="1"/>
        <v>348.04</v>
      </c>
      <c r="I16" s="343">
        <v>0</v>
      </c>
      <c r="J16" s="343">
        <f t="shared" si="5"/>
        <v>21.568207215831862</v>
      </c>
      <c r="K16" s="344">
        <f t="shared" si="6"/>
        <v>452.93235153246906</v>
      </c>
    </row>
    <row r="17" spans="1:11" ht="20.25" customHeight="1">
      <c r="A17" s="339"/>
      <c r="B17" s="340"/>
      <c r="C17" s="339" t="s">
        <v>385</v>
      </c>
      <c r="D17" s="341">
        <v>228</v>
      </c>
      <c r="E17" s="341">
        <f t="shared" si="4"/>
        <v>636</v>
      </c>
      <c r="F17" s="342">
        <v>9</v>
      </c>
      <c r="G17" s="343">
        <f t="shared" si="0"/>
        <v>83.324144316637188</v>
      </c>
      <c r="H17" s="343">
        <f t="shared" si="1"/>
        <v>359.34000000000003</v>
      </c>
      <c r="I17" s="343">
        <v>0</v>
      </c>
      <c r="J17" s="343">
        <f t="shared" si="5"/>
        <v>22.133207215831863</v>
      </c>
      <c r="K17" s="344">
        <f t="shared" si="6"/>
        <v>464.79735153246912</v>
      </c>
    </row>
    <row r="18" spans="1:11" ht="20.25" customHeight="1">
      <c r="A18" s="339"/>
      <c r="B18" s="340"/>
      <c r="C18" s="339" t="s">
        <v>385</v>
      </c>
      <c r="D18" s="341">
        <v>228</v>
      </c>
      <c r="E18" s="341">
        <f t="shared" si="4"/>
        <v>656</v>
      </c>
      <c r="F18" s="342">
        <v>10</v>
      </c>
      <c r="G18" s="343">
        <f t="shared" si="0"/>
        <v>83.324144316637188</v>
      </c>
      <c r="H18" s="343">
        <f t="shared" si="1"/>
        <v>370.64</v>
      </c>
      <c r="I18" s="343">
        <v>0</v>
      </c>
      <c r="J18" s="343">
        <f t="shared" si="5"/>
        <v>22.698207215831861</v>
      </c>
      <c r="K18" s="344">
        <f t="shared" si="6"/>
        <v>476.66235153246907</v>
      </c>
    </row>
    <row r="19" spans="1:11" ht="20.25" customHeight="1" thickBot="1">
      <c r="A19" s="329">
        <v>4</v>
      </c>
      <c r="B19" s="330" t="s">
        <v>118</v>
      </c>
      <c r="C19" s="330"/>
      <c r="D19" s="331">
        <f>SUM(D9:D18)/10</f>
        <v>228</v>
      </c>
      <c r="E19" s="331">
        <f>SUM(E9:E18)/10</f>
        <v>566</v>
      </c>
      <c r="F19" s="331">
        <f>SUM(F9:F18)/10</f>
        <v>5.5</v>
      </c>
      <c r="G19" s="332">
        <f>SUM(G9:G18)/10</f>
        <v>83.324144316637202</v>
      </c>
      <c r="H19" s="332">
        <f t="shared" ref="H19:K19" si="7">SUM(H9:H18)/10</f>
        <v>319.79000000000002</v>
      </c>
      <c r="I19" s="332">
        <f t="shared" si="7"/>
        <v>0</v>
      </c>
      <c r="J19" s="332">
        <f t="shared" si="7"/>
        <v>20.155707215831864</v>
      </c>
      <c r="K19" s="332">
        <f t="shared" si="7"/>
        <v>423.26985153246915</v>
      </c>
    </row>
    <row r="20" spans="1:11" ht="20.25" customHeight="1" thickBot="1">
      <c r="A20" s="533" t="s">
        <v>387</v>
      </c>
      <c r="B20" s="42"/>
      <c r="C20" s="42"/>
      <c r="D20" s="42"/>
      <c r="E20" s="42"/>
      <c r="F20" s="42"/>
      <c r="G20" s="42"/>
      <c r="H20" s="42"/>
      <c r="I20" s="671" t="s">
        <v>534</v>
      </c>
      <c r="J20" s="672"/>
      <c r="K20" s="587">
        <f>'Coluna 39 FGV'!$K$19*K21</f>
        <v>2499.7243294991158</v>
      </c>
    </row>
    <row r="21" spans="1:11" ht="20.25" customHeight="1" thickBot="1">
      <c r="A21" s="464" t="s">
        <v>388</v>
      </c>
      <c r="B21" s="465" t="s">
        <v>389</v>
      </c>
      <c r="C21" s="465"/>
      <c r="D21" s="465"/>
      <c r="E21" s="335"/>
      <c r="F21" s="335"/>
      <c r="G21" s="334"/>
      <c r="H21" s="588"/>
      <c r="I21" s="671" t="s">
        <v>535</v>
      </c>
      <c r="J21" s="672"/>
      <c r="K21" s="587">
        <v>2379.86</v>
      </c>
    </row>
    <row r="22" spans="1:11" ht="20.25" customHeight="1" thickBot="1">
      <c r="A22" s="464"/>
      <c r="B22" s="465" t="s">
        <v>536</v>
      </c>
      <c r="C22" s="465"/>
      <c r="D22" s="465"/>
      <c r="E22" s="335"/>
      <c r="F22" s="335"/>
      <c r="G22" s="334"/>
      <c r="H22" s="334"/>
      <c r="I22" s="671" t="s">
        <v>390</v>
      </c>
      <c r="J22" s="672"/>
      <c r="K22" s="587">
        <f>K19/E19</f>
        <v>0.74782659281354968</v>
      </c>
    </row>
    <row r="23" spans="1:11" ht="20.25" customHeight="1" thickBot="1">
      <c r="A23" s="464" t="s">
        <v>391</v>
      </c>
      <c r="B23" s="465" t="s">
        <v>392</v>
      </c>
      <c r="C23" s="465"/>
      <c r="D23" s="465"/>
      <c r="E23" s="335"/>
      <c r="F23" s="335"/>
      <c r="G23" s="334"/>
      <c r="H23" s="334"/>
      <c r="I23" s="589" t="s">
        <v>537</v>
      </c>
      <c r="J23" s="590"/>
      <c r="K23" s="587">
        <f>K19/F19</f>
        <v>76.958154824085298</v>
      </c>
    </row>
    <row r="24" spans="1:11" ht="20.25" customHeight="1">
      <c r="A24" s="464" t="s">
        <v>393</v>
      </c>
      <c r="B24" s="465" t="s">
        <v>394</v>
      </c>
      <c r="C24" s="465" t="s">
        <v>395</v>
      </c>
      <c r="D24" s="465"/>
      <c r="E24" s="336"/>
      <c r="F24" s="42"/>
      <c r="G24" s="42"/>
      <c r="H24" s="42"/>
      <c r="I24" s="333"/>
      <c r="J24" s="333"/>
      <c r="K24" s="42"/>
    </row>
    <row r="25" spans="1:11" ht="20.25" customHeight="1">
      <c r="A25" s="464" t="s">
        <v>396</v>
      </c>
      <c r="B25" s="465" t="s">
        <v>397</v>
      </c>
      <c r="C25" s="465">
        <v>20</v>
      </c>
      <c r="D25" s="465" t="s">
        <v>168</v>
      </c>
      <c r="E25" s="336"/>
      <c r="F25" s="42"/>
      <c r="G25" s="42"/>
      <c r="H25" s="42"/>
      <c r="I25" s="42"/>
      <c r="J25" s="42"/>
      <c r="K25" s="42"/>
    </row>
    <row r="26" spans="1:11" ht="20.25" customHeight="1">
      <c r="A26" s="464" t="s">
        <v>398</v>
      </c>
      <c r="B26" s="465" t="s">
        <v>399</v>
      </c>
      <c r="C26" s="465">
        <v>10</v>
      </c>
      <c r="D26" s="465" t="s">
        <v>400</v>
      </c>
      <c r="E26" s="42"/>
      <c r="F26" s="42"/>
      <c r="G26" s="42"/>
      <c r="H26" s="42"/>
    </row>
    <row r="27" spans="1:11" ht="20.25" customHeight="1">
      <c r="A27" s="464" t="s">
        <v>401</v>
      </c>
      <c r="B27" s="465" t="s">
        <v>402</v>
      </c>
      <c r="C27" s="465">
        <v>5.65</v>
      </c>
      <c r="D27" s="465" t="s">
        <v>403</v>
      </c>
      <c r="E27" s="465" t="s">
        <v>548</v>
      </c>
      <c r="F27" s="42"/>
      <c r="G27" s="42"/>
      <c r="I27" s="608">
        <v>45166</v>
      </c>
    </row>
    <row r="28" spans="1:11" ht="20.25" customHeight="1">
      <c r="A28" s="464" t="s">
        <v>404</v>
      </c>
      <c r="B28" s="465" t="s">
        <v>405</v>
      </c>
      <c r="C28" s="465">
        <v>0.05</v>
      </c>
      <c r="D28" s="465" t="s">
        <v>538</v>
      </c>
      <c r="E28" s="42"/>
      <c r="F28" s="42"/>
      <c r="G28" s="42"/>
      <c r="H28" s="42"/>
    </row>
  </sheetData>
  <mergeCells count="7">
    <mergeCell ref="A1:K3"/>
    <mergeCell ref="I20:J20"/>
    <mergeCell ref="I22:J22"/>
    <mergeCell ref="I21:J21"/>
    <mergeCell ref="A7:A8"/>
    <mergeCell ref="B7:B8"/>
    <mergeCell ref="C7:C8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8128-4FE5-4EC9-9865-A96EFA9B0A1C}">
  <sheetPr>
    <tabColor theme="8" tint="-0.249977111117893"/>
    <pageSetUpPr fitToPage="1"/>
  </sheetPr>
  <dimension ref="A1:N22"/>
  <sheetViews>
    <sheetView view="pageBreakPreview" zoomScale="90" zoomScaleNormal="100" zoomScaleSheetLayoutView="90" workbookViewId="0">
      <selection activeCell="G12" sqref="G12"/>
    </sheetView>
  </sheetViews>
  <sheetFormatPr defaultRowHeight="37.5" customHeight="1"/>
  <cols>
    <col min="1" max="1" width="18" customWidth="1"/>
    <col min="3" max="3" width="10.28515625" customWidth="1"/>
    <col min="14" max="14" width="11.85546875" bestFit="1" customWidth="1"/>
  </cols>
  <sheetData>
    <row r="1" spans="1:14" ht="21" customHeight="1">
      <c r="A1" s="674" t="s">
        <v>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</row>
    <row r="2" spans="1:14" ht="21" customHeight="1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</row>
    <row r="3" spans="1:14" ht="21" customHeigh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ht="21" customHeight="1">
      <c r="A4" s="517" t="s">
        <v>406</v>
      </c>
      <c r="B4" s="517"/>
      <c r="C4" s="517"/>
      <c r="D4" s="518"/>
      <c r="E4" s="519"/>
      <c r="F4" s="519"/>
      <c r="G4" s="519"/>
      <c r="H4" s="519"/>
      <c r="I4" s="519"/>
      <c r="J4" s="519"/>
      <c r="K4" s="102"/>
      <c r="L4" s="102"/>
      <c r="M4" s="520"/>
      <c r="N4" s="521">
        <f>Capa!C51</f>
        <v>45166</v>
      </c>
    </row>
    <row r="5" spans="1:14" ht="21" customHeight="1">
      <c r="A5" s="517" t="s">
        <v>135</v>
      </c>
      <c r="B5" s="522" t="str">
        <f>[2]Município!B5</f>
        <v>CBH DOCE</v>
      </c>
      <c r="C5" s="523"/>
      <c r="D5" s="519"/>
      <c r="E5" s="518"/>
      <c r="F5" s="518"/>
      <c r="G5" s="518"/>
      <c r="H5" s="518"/>
      <c r="I5" s="518"/>
      <c r="J5" s="518"/>
      <c r="K5" s="518"/>
      <c r="L5" s="518"/>
      <c r="M5" s="524"/>
      <c r="N5" s="524"/>
    </row>
    <row r="6" spans="1:14" ht="21" customHeight="1">
      <c r="A6" s="517" t="s">
        <v>136</v>
      </c>
      <c r="B6" s="522" t="str">
        <f>Capa!B30</f>
        <v>São Sebastião do Rio Preto/MG</v>
      </c>
      <c r="C6" s="523"/>
      <c r="D6" s="519"/>
      <c r="E6" s="518"/>
      <c r="F6" s="525"/>
      <c r="G6" s="525"/>
      <c r="H6" s="525"/>
      <c r="I6" s="525"/>
      <c r="J6" s="525"/>
      <c r="K6" s="102"/>
      <c r="L6" s="518"/>
      <c r="M6" s="524"/>
      <c r="N6" s="524"/>
    </row>
    <row r="7" spans="1:14" ht="2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524"/>
      <c r="N7" s="524"/>
    </row>
    <row r="8" spans="1:14" ht="29.25" customHeight="1">
      <c r="A8" s="675" t="s">
        <v>407</v>
      </c>
      <c r="B8" s="677" t="s">
        <v>408</v>
      </c>
      <c r="C8" s="503">
        <v>1</v>
      </c>
      <c r="D8" s="504">
        <v>3001</v>
      </c>
      <c r="E8" s="504">
        <v>5001</v>
      </c>
      <c r="F8" s="504">
        <v>10001</v>
      </c>
      <c r="G8" s="504">
        <v>20001</v>
      </c>
      <c r="H8" s="504">
        <v>30001</v>
      </c>
      <c r="I8" s="504">
        <v>40001</v>
      </c>
      <c r="J8" s="504">
        <v>50001</v>
      </c>
      <c r="K8" s="504">
        <v>60001</v>
      </c>
      <c r="L8" s="504">
        <v>70001</v>
      </c>
      <c r="M8" s="504">
        <v>80001</v>
      </c>
      <c r="N8" s="504">
        <v>90001</v>
      </c>
    </row>
    <row r="9" spans="1:14" ht="27.75" customHeight="1" thickBot="1">
      <c r="A9" s="676"/>
      <c r="B9" s="678"/>
      <c r="C9" s="505">
        <v>3000</v>
      </c>
      <c r="D9" s="506">
        <v>5000</v>
      </c>
      <c r="E9" s="505">
        <v>10000</v>
      </c>
      <c r="F9" s="505">
        <v>20000</v>
      </c>
      <c r="G9" s="505">
        <v>30000</v>
      </c>
      <c r="H9" s="505">
        <v>40000</v>
      </c>
      <c r="I9" s="505">
        <v>50000</v>
      </c>
      <c r="J9" s="505">
        <v>60000</v>
      </c>
      <c r="K9" s="505">
        <v>70000</v>
      </c>
      <c r="L9" s="505">
        <v>80000</v>
      </c>
      <c r="M9" s="505">
        <v>90000</v>
      </c>
      <c r="N9" s="505">
        <v>100000</v>
      </c>
    </row>
    <row r="10" spans="1:14" ht="37.5" customHeight="1">
      <c r="A10" s="507" t="s">
        <v>409</v>
      </c>
      <c r="B10" s="508" t="s">
        <v>22</v>
      </c>
      <c r="C10" s="509">
        <v>48</v>
      </c>
      <c r="D10" s="194">
        <f>C10+4</f>
        <v>52</v>
      </c>
      <c r="E10" s="194">
        <f>D10+4</f>
        <v>56</v>
      </c>
      <c r="F10" s="194">
        <f>E10+4</f>
        <v>60</v>
      </c>
      <c r="G10" s="194">
        <f>F10+8</f>
        <v>68</v>
      </c>
      <c r="H10" s="194">
        <f>G10+8</f>
        <v>76</v>
      </c>
      <c r="I10" s="194">
        <f>H10+8</f>
        <v>84</v>
      </c>
      <c r="J10" s="194">
        <f>I10+8</f>
        <v>92</v>
      </c>
      <c r="K10" s="194">
        <f>J10+8</f>
        <v>100</v>
      </c>
      <c r="L10" s="194">
        <f t="shared" ref="L10:N12" si="0">K10+10</f>
        <v>110</v>
      </c>
      <c r="M10" s="194">
        <f t="shared" si="0"/>
        <v>120</v>
      </c>
      <c r="N10" s="194">
        <f t="shared" si="0"/>
        <v>130</v>
      </c>
    </row>
    <row r="11" spans="1:14" ht="37.5" customHeight="1">
      <c r="A11" s="507" t="s">
        <v>410</v>
      </c>
      <c r="B11" s="508" t="s">
        <v>22</v>
      </c>
      <c r="C11" s="510">
        <v>160</v>
      </c>
      <c r="D11" s="194">
        <f>C11+80</f>
        <v>240</v>
      </c>
      <c r="E11" s="194">
        <f>D11+24</f>
        <v>264</v>
      </c>
      <c r="F11" s="194">
        <f>E11+8</f>
        <v>272</v>
      </c>
      <c r="G11" s="194">
        <f>F11+8</f>
        <v>280</v>
      </c>
      <c r="H11" s="194">
        <f t="shared" ref="H11:K12" si="1">G11+10</f>
        <v>290</v>
      </c>
      <c r="I11" s="194">
        <f t="shared" si="1"/>
        <v>300</v>
      </c>
      <c r="J11" s="194">
        <f t="shared" si="1"/>
        <v>310</v>
      </c>
      <c r="K11" s="194">
        <f t="shared" si="1"/>
        <v>320</v>
      </c>
      <c r="L11" s="194">
        <f t="shared" si="0"/>
        <v>330</v>
      </c>
      <c r="M11" s="194">
        <f t="shared" si="0"/>
        <v>340</v>
      </c>
      <c r="N11" s="194">
        <f t="shared" si="0"/>
        <v>350</v>
      </c>
    </row>
    <row r="12" spans="1:14" ht="37.5" customHeight="1">
      <c r="A12" s="507" t="s">
        <v>411</v>
      </c>
      <c r="B12" s="508" t="s">
        <v>22</v>
      </c>
      <c r="C12" s="510">
        <v>160</v>
      </c>
      <c r="D12" s="194">
        <f>C12+80</f>
        <v>240</v>
      </c>
      <c r="E12" s="194">
        <f>D12+24</f>
        <v>264</v>
      </c>
      <c r="F12" s="194">
        <f>E12+8</f>
        <v>272</v>
      </c>
      <c r="G12" s="194">
        <f>F12+8</f>
        <v>280</v>
      </c>
      <c r="H12" s="194">
        <f t="shared" si="1"/>
        <v>290</v>
      </c>
      <c r="I12" s="194">
        <f t="shared" si="1"/>
        <v>300</v>
      </c>
      <c r="J12" s="194">
        <f t="shared" si="1"/>
        <v>310</v>
      </c>
      <c r="K12" s="194">
        <f t="shared" si="1"/>
        <v>320</v>
      </c>
      <c r="L12" s="194">
        <f t="shared" si="0"/>
        <v>330</v>
      </c>
      <c r="M12" s="194">
        <f t="shared" si="0"/>
        <v>340</v>
      </c>
      <c r="N12" s="194">
        <f t="shared" si="0"/>
        <v>350</v>
      </c>
    </row>
    <row r="13" spans="1:14" ht="37.5" customHeight="1">
      <c r="A13" s="507" t="s">
        <v>412</v>
      </c>
      <c r="B13" s="508" t="s">
        <v>22</v>
      </c>
      <c r="C13" s="510">
        <v>80</v>
      </c>
      <c r="D13" s="194">
        <f t="shared" ref="D13:N13" si="2">C13+4</f>
        <v>84</v>
      </c>
      <c r="E13" s="194">
        <f t="shared" si="2"/>
        <v>88</v>
      </c>
      <c r="F13" s="194">
        <f t="shared" si="2"/>
        <v>92</v>
      </c>
      <c r="G13" s="194">
        <f t="shared" si="2"/>
        <v>96</v>
      </c>
      <c r="H13" s="194">
        <f t="shared" si="2"/>
        <v>100</v>
      </c>
      <c r="I13" s="194">
        <f t="shared" si="2"/>
        <v>104</v>
      </c>
      <c r="J13" s="194">
        <f t="shared" si="2"/>
        <v>108</v>
      </c>
      <c r="K13" s="194">
        <f t="shared" si="2"/>
        <v>112</v>
      </c>
      <c r="L13" s="194">
        <f t="shared" si="2"/>
        <v>116</v>
      </c>
      <c r="M13" s="194">
        <f t="shared" si="2"/>
        <v>120</v>
      </c>
      <c r="N13" s="194">
        <f t="shared" si="2"/>
        <v>124</v>
      </c>
    </row>
    <row r="14" spans="1:14" ht="37.5" customHeight="1">
      <c r="A14" s="507" t="s">
        <v>413</v>
      </c>
      <c r="B14" s="508" t="s">
        <v>22</v>
      </c>
      <c r="C14" s="510">
        <v>8</v>
      </c>
      <c r="D14" s="194">
        <v>8</v>
      </c>
      <c r="E14" s="194">
        <v>8</v>
      </c>
      <c r="F14" s="194">
        <v>8</v>
      </c>
      <c r="G14" s="194">
        <v>12</v>
      </c>
      <c r="H14" s="194">
        <v>12</v>
      </c>
      <c r="I14" s="194">
        <v>12</v>
      </c>
      <c r="J14" s="194">
        <v>14</v>
      </c>
      <c r="K14" s="194">
        <v>14</v>
      </c>
      <c r="L14" s="194">
        <v>14</v>
      </c>
      <c r="M14" s="194">
        <v>16</v>
      </c>
      <c r="N14" s="194">
        <v>16</v>
      </c>
    </row>
    <row r="15" spans="1:14" ht="37.5" customHeight="1">
      <c r="A15" s="507" t="s">
        <v>414</v>
      </c>
      <c r="B15" s="508" t="s">
        <v>22</v>
      </c>
      <c r="C15" s="510">
        <v>16</v>
      </c>
      <c r="D15" s="194">
        <f>C15+4</f>
        <v>20</v>
      </c>
      <c r="E15" s="194">
        <f t="shared" ref="E15:N15" si="3">D15+4</f>
        <v>24</v>
      </c>
      <c r="F15" s="194">
        <f t="shared" si="3"/>
        <v>28</v>
      </c>
      <c r="G15" s="194">
        <f t="shared" si="3"/>
        <v>32</v>
      </c>
      <c r="H15" s="194">
        <f t="shared" si="3"/>
        <v>36</v>
      </c>
      <c r="I15" s="194">
        <f t="shared" si="3"/>
        <v>40</v>
      </c>
      <c r="J15" s="194">
        <f t="shared" si="3"/>
        <v>44</v>
      </c>
      <c r="K15" s="194">
        <f t="shared" si="3"/>
        <v>48</v>
      </c>
      <c r="L15" s="194">
        <f t="shared" si="3"/>
        <v>52</v>
      </c>
      <c r="M15" s="194">
        <f t="shared" si="3"/>
        <v>56</v>
      </c>
      <c r="N15" s="194">
        <f t="shared" si="3"/>
        <v>60</v>
      </c>
    </row>
    <row r="16" spans="1:14" ht="37.5" customHeight="1">
      <c r="A16" s="507" t="s">
        <v>415</v>
      </c>
      <c r="B16" s="508" t="s">
        <v>22</v>
      </c>
      <c r="C16" s="510">
        <v>24</v>
      </c>
      <c r="D16" s="194">
        <f>C16+8</f>
        <v>32</v>
      </c>
      <c r="E16" s="194">
        <f t="shared" ref="E16:J16" si="4">D16+8</f>
        <v>40</v>
      </c>
      <c r="F16" s="194">
        <f t="shared" si="4"/>
        <v>48</v>
      </c>
      <c r="G16" s="194">
        <f t="shared" si="4"/>
        <v>56</v>
      </c>
      <c r="H16" s="194">
        <f t="shared" si="4"/>
        <v>64</v>
      </c>
      <c r="I16" s="194">
        <f t="shared" si="4"/>
        <v>72</v>
      </c>
      <c r="J16" s="194">
        <f t="shared" si="4"/>
        <v>80</v>
      </c>
      <c r="K16" s="194">
        <f>J16+10</f>
        <v>90</v>
      </c>
      <c r="L16" s="194">
        <f>K16+10</f>
        <v>100</v>
      </c>
      <c r="M16" s="194">
        <f>L16+10</f>
        <v>110</v>
      </c>
      <c r="N16" s="194">
        <f>M16+10</f>
        <v>120</v>
      </c>
    </row>
    <row r="17" spans="1:14" ht="37.5" customHeight="1">
      <c r="A17" s="507" t="s">
        <v>416</v>
      </c>
      <c r="B17" s="508" t="s">
        <v>22</v>
      </c>
      <c r="C17" s="510">
        <v>16</v>
      </c>
      <c r="D17" s="194">
        <f>C17+4</f>
        <v>20</v>
      </c>
      <c r="E17" s="194">
        <f t="shared" ref="E17" si="5">D17+4</f>
        <v>24</v>
      </c>
      <c r="F17" s="194">
        <f t="shared" ref="F17" si="6">E17+4</f>
        <v>28</v>
      </c>
      <c r="G17" s="194">
        <f t="shared" ref="G17" si="7">F17+4</f>
        <v>32</v>
      </c>
      <c r="H17" s="194">
        <f t="shared" ref="H17" si="8">G17+4</f>
        <v>36</v>
      </c>
      <c r="I17" s="194">
        <f t="shared" ref="I17" si="9">H17+4</f>
        <v>40</v>
      </c>
      <c r="J17" s="194">
        <f t="shared" ref="J17" si="10">I17+4</f>
        <v>44</v>
      </c>
      <c r="K17" s="194">
        <f t="shared" ref="K17" si="11">J17+4</f>
        <v>48</v>
      </c>
      <c r="L17" s="194">
        <f t="shared" ref="L17" si="12">K17+4</f>
        <v>52</v>
      </c>
      <c r="M17" s="194">
        <f t="shared" ref="M17" si="13">L17+4</f>
        <v>56</v>
      </c>
      <c r="N17" s="194">
        <f t="shared" ref="N17" si="14">M17+4</f>
        <v>60</v>
      </c>
    </row>
    <row r="18" spans="1:14" ht="37.5" customHeight="1">
      <c r="A18" s="507" t="s">
        <v>417</v>
      </c>
      <c r="B18" s="508" t="s">
        <v>22</v>
      </c>
      <c r="C18" s="510">
        <v>16</v>
      </c>
      <c r="D18" s="194">
        <f>C18+4</f>
        <v>20</v>
      </c>
      <c r="E18" s="194">
        <f t="shared" ref="E18:N18" si="15">D18+4</f>
        <v>24</v>
      </c>
      <c r="F18" s="194">
        <f t="shared" si="15"/>
        <v>28</v>
      </c>
      <c r="G18" s="194">
        <f t="shared" si="15"/>
        <v>32</v>
      </c>
      <c r="H18" s="194">
        <f t="shared" si="15"/>
        <v>36</v>
      </c>
      <c r="I18" s="194">
        <f t="shared" si="15"/>
        <v>40</v>
      </c>
      <c r="J18" s="194">
        <f t="shared" si="15"/>
        <v>44</v>
      </c>
      <c r="K18" s="194">
        <f t="shared" si="15"/>
        <v>48</v>
      </c>
      <c r="L18" s="194">
        <f t="shared" si="15"/>
        <v>52</v>
      </c>
      <c r="M18" s="194">
        <f t="shared" si="15"/>
        <v>56</v>
      </c>
      <c r="N18" s="194">
        <f t="shared" si="15"/>
        <v>60</v>
      </c>
    </row>
    <row r="19" spans="1:14" ht="37.5" customHeight="1">
      <c r="A19" s="507" t="s">
        <v>418</v>
      </c>
      <c r="B19" s="508" t="s">
        <v>211</v>
      </c>
      <c r="C19" s="510">
        <v>10</v>
      </c>
      <c r="D19" s="194">
        <v>10</v>
      </c>
      <c r="E19" s="194">
        <v>20</v>
      </c>
      <c r="F19" s="194">
        <v>20</v>
      </c>
      <c r="G19" s="194">
        <v>30</v>
      </c>
      <c r="H19" s="194">
        <v>30</v>
      </c>
      <c r="I19" s="194">
        <v>40</v>
      </c>
      <c r="J19" s="194">
        <v>40</v>
      </c>
      <c r="K19" s="194">
        <v>40</v>
      </c>
      <c r="L19" s="194">
        <v>40</v>
      </c>
      <c r="M19" s="194">
        <v>50</v>
      </c>
      <c r="N19" s="194">
        <v>50</v>
      </c>
    </row>
    <row r="20" spans="1:14" ht="37.5" customHeight="1" thickBot="1">
      <c r="A20" s="511" t="s">
        <v>419</v>
      </c>
      <c r="B20" s="512" t="s">
        <v>211</v>
      </c>
      <c r="C20" s="513">
        <v>10</v>
      </c>
      <c r="D20" s="514">
        <v>10</v>
      </c>
      <c r="E20" s="514">
        <f t="shared" ref="E20:N20" si="16">E19</f>
        <v>20</v>
      </c>
      <c r="F20" s="514">
        <f t="shared" si="16"/>
        <v>20</v>
      </c>
      <c r="G20" s="514">
        <f t="shared" si="16"/>
        <v>30</v>
      </c>
      <c r="H20" s="514">
        <f t="shared" si="16"/>
        <v>30</v>
      </c>
      <c r="I20" s="514">
        <f t="shared" si="16"/>
        <v>40</v>
      </c>
      <c r="J20" s="515">
        <f t="shared" si="16"/>
        <v>40</v>
      </c>
      <c r="K20" s="515">
        <f t="shared" si="16"/>
        <v>40</v>
      </c>
      <c r="L20" s="515">
        <f t="shared" si="16"/>
        <v>40</v>
      </c>
      <c r="M20" s="515">
        <f t="shared" si="16"/>
        <v>50</v>
      </c>
      <c r="N20" s="515">
        <f t="shared" si="16"/>
        <v>50</v>
      </c>
    </row>
    <row r="21" spans="1:14" ht="37.5" customHeight="1">
      <c r="E21" s="516"/>
    </row>
    <row r="22" spans="1:14" ht="37.5" customHeight="1">
      <c r="E22" s="516"/>
    </row>
  </sheetData>
  <mergeCells count="3">
    <mergeCell ref="A1:N3"/>
    <mergeCell ref="A8:A9"/>
    <mergeCell ref="B8:B9"/>
  </mergeCells>
  <pageMargins left="0.511811024" right="0.511811024" top="0.78740157499999996" bottom="0.78740157499999996" header="0.31496062000000002" footer="0.31496062000000002"/>
  <pageSetup paperSize="9" scale="66" orientation="portrait" r:id="rId1"/>
  <ignoredErrors>
    <ignoredError sqref="D16:N1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  <pageSetUpPr fitToPage="1"/>
  </sheetPr>
  <dimension ref="A1:F24"/>
  <sheetViews>
    <sheetView showGridLines="0" view="pageBreakPreview" zoomScaleNormal="130" zoomScaleSheetLayoutView="100" workbookViewId="0">
      <selection activeCell="A10" sqref="A10:F10"/>
    </sheetView>
  </sheetViews>
  <sheetFormatPr defaultColWidth="9.140625" defaultRowHeight="12.75" customHeight="1"/>
  <cols>
    <col min="1" max="1" width="11.28515625" style="73" customWidth="1"/>
    <col min="2" max="2" width="16.42578125" style="73" customWidth="1"/>
    <col min="3" max="3" width="31.42578125" style="73" customWidth="1"/>
    <col min="4" max="4" width="43.7109375" style="73" customWidth="1"/>
    <col min="5" max="5" width="27.85546875" style="73" customWidth="1"/>
    <col min="6" max="6" width="11.85546875" style="73" bestFit="1" customWidth="1"/>
    <col min="7" max="7" width="9.140625" customWidth="1"/>
  </cols>
  <sheetData>
    <row r="1" spans="1:6" ht="12.75" customHeight="1">
      <c r="A1" s="662" t="s">
        <v>0</v>
      </c>
      <c r="B1" s="662"/>
      <c r="C1" s="662"/>
      <c r="D1" s="662"/>
      <c r="E1" s="662"/>
      <c r="F1" s="662"/>
    </row>
    <row r="2" spans="1:6" ht="12.75" customHeight="1">
      <c r="A2" s="662"/>
      <c r="B2" s="662"/>
      <c r="C2" s="662"/>
      <c r="D2" s="662"/>
      <c r="E2" s="662"/>
      <c r="F2" s="662"/>
    </row>
    <row r="3" spans="1:6" ht="23.25" customHeight="1">
      <c r="A3" s="684"/>
      <c r="B3" s="684"/>
      <c r="C3" s="684"/>
      <c r="D3" s="684"/>
      <c r="E3" s="684"/>
      <c r="F3" s="684"/>
    </row>
    <row r="4" spans="1:6" ht="20.100000000000001" customHeight="1">
      <c r="A4" s="290" t="s">
        <v>420</v>
      </c>
      <c r="B4" s="59"/>
      <c r="C4" s="59"/>
      <c r="D4" s="60"/>
      <c r="E4" s="62" t="s">
        <v>134</v>
      </c>
      <c r="F4" s="466">
        <f>Município!H4</f>
        <v>45166</v>
      </c>
    </row>
    <row r="5" spans="1:6" ht="20.100000000000001" customHeight="1">
      <c r="A5" s="59" t="s">
        <v>135</v>
      </c>
      <c r="B5" s="64" t="str">
        <f>Município!B5</f>
        <v>CBH DOCE</v>
      </c>
      <c r="C5" s="83"/>
      <c r="D5" s="53"/>
      <c r="E5" s="53"/>
      <c r="F5" s="60"/>
    </row>
    <row r="6" spans="1:6" ht="20.100000000000001" customHeight="1">
      <c r="A6" s="59" t="s">
        <v>136</v>
      </c>
      <c r="B6" s="64" t="str">
        <f>Município!B6</f>
        <v>São Sebastião do Rio Preto/MG</v>
      </c>
      <c r="C6" s="83"/>
      <c r="D6" s="53"/>
      <c r="E6" s="53"/>
    </row>
    <row r="8" spans="1:6" ht="20.100000000000001" customHeight="1">
      <c r="A8" s="685" t="s">
        <v>421</v>
      </c>
      <c r="B8" s="685"/>
      <c r="C8" s="491" t="s">
        <v>422</v>
      </c>
      <c r="D8" s="491" t="str">
        <f>Custos!B38</f>
        <v>Mobilização e desmobilização de equipe de topografia</v>
      </c>
      <c r="E8" s="685" t="str">
        <f>Custos!B39</f>
        <v>Equipe de topografia de campo</v>
      </c>
      <c r="F8" s="685"/>
    </row>
    <row r="9" spans="1:6" ht="20.100000000000001" customHeight="1" thickBot="1">
      <c r="A9" s="686" t="s">
        <v>168</v>
      </c>
      <c r="B9" s="686"/>
      <c r="C9" s="220" t="s">
        <v>423</v>
      </c>
      <c r="D9" s="220" t="s">
        <v>265</v>
      </c>
      <c r="E9" s="686" t="s">
        <v>265</v>
      </c>
      <c r="F9" s="686"/>
    </row>
    <row r="10" spans="1:6" ht="20.100000000000001" customHeight="1" thickBot="1">
      <c r="A10" s="497">
        <v>1</v>
      </c>
      <c r="B10" s="498">
        <v>10</v>
      </c>
      <c r="C10" s="499">
        <v>1</v>
      </c>
      <c r="D10" s="499">
        <v>5</v>
      </c>
      <c r="E10" s="680">
        <f t="shared" ref="E10:E21" si="0">D10</f>
        <v>5</v>
      </c>
      <c r="F10" s="681"/>
    </row>
    <row r="11" spans="1:6" ht="20.100000000000001" customHeight="1">
      <c r="A11" s="467">
        <v>11</v>
      </c>
      <c r="B11" s="467">
        <f>D11*3</f>
        <v>30</v>
      </c>
      <c r="C11" s="468">
        <v>1</v>
      </c>
      <c r="D11" s="469">
        <v>10</v>
      </c>
      <c r="E11" s="683">
        <f t="shared" si="0"/>
        <v>10</v>
      </c>
      <c r="F11" s="683"/>
    </row>
    <row r="12" spans="1:6" ht="20.100000000000001" customHeight="1">
      <c r="A12" s="294">
        <f>B11+1</f>
        <v>31</v>
      </c>
      <c r="B12" s="293">
        <f t="shared" ref="B12:B21" si="1">D12*3</f>
        <v>45</v>
      </c>
      <c r="C12" s="294">
        <v>1</v>
      </c>
      <c r="D12" s="294">
        <v>15</v>
      </c>
      <c r="E12" s="682">
        <f t="shared" si="0"/>
        <v>15</v>
      </c>
      <c r="F12" s="682"/>
    </row>
    <row r="13" spans="1:6" ht="20.100000000000001" customHeight="1">
      <c r="A13" s="293">
        <f>B12+1</f>
        <v>46</v>
      </c>
      <c r="B13" s="293">
        <f t="shared" si="1"/>
        <v>60</v>
      </c>
      <c r="C13" s="294">
        <v>1</v>
      </c>
      <c r="D13" s="294">
        <v>20</v>
      </c>
      <c r="E13" s="679">
        <f t="shared" si="0"/>
        <v>20</v>
      </c>
      <c r="F13" s="679"/>
    </row>
    <row r="14" spans="1:6" ht="20.100000000000001" customHeight="1">
      <c r="A14" s="219">
        <f t="shared" ref="A14:A20" si="2">B13+1</f>
        <v>61</v>
      </c>
      <c r="B14" s="219">
        <f t="shared" si="1"/>
        <v>75</v>
      </c>
      <c r="C14" s="194">
        <v>1</v>
      </c>
      <c r="D14" s="194">
        <v>25</v>
      </c>
      <c r="E14" s="679">
        <f t="shared" si="0"/>
        <v>25</v>
      </c>
      <c r="F14" s="679"/>
    </row>
    <row r="15" spans="1:6" ht="20.100000000000001" customHeight="1">
      <c r="A15" s="219">
        <f t="shared" si="2"/>
        <v>76</v>
      </c>
      <c r="B15" s="219">
        <f t="shared" si="1"/>
        <v>90</v>
      </c>
      <c r="C15" s="194">
        <v>1</v>
      </c>
      <c r="D15" s="194">
        <v>30</v>
      </c>
      <c r="E15" s="679">
        <f t="shared" si="0"/>
        <v>30</v>
      </c>
      <c r="F15" s="679"/>
    </row>
    <row r="16" spans="1:6" ht="20.100000000000001" customHeight="1">
      <c r="A16" s="219">
        <f t="shared" si="2"/>
        <v>91</v>
      </c>
      <c r="B16" s="219">
        <f t="shared" si="1"/>
        <v>105</v>
      </c>
      <c r="C16" s="194">
        <v>1</v>
      </c>
      <c r="D16" s="194">
        <v>35</v>
      </c>
      <c r="E16" s="679">
        <f t="shared" si="0"/>
        <v>35</v>
      </c>
      <c r="F16" s="679"/>
    </row>
    <row r="17" spans="1:6" ht="20.100000000000001" customHeight="1">
      <c r="A17" s="219">
        <f t="shared" si="2"/>
        <v>106</v>
      </c>
      <c r="B17" s="219">
        <f t="shared" si="1"/>
        <v>120</v>
      </c>
      <c r="C17" s="194">
        <v>1</v>
      </c>
      <c r="D17" s="194">
        <v>40</v>
      </c>
      <c r="E17" s="679">
        <f t="shared" si="0"/>
        <v>40</v>
      </c>
      <c r="F17" s="679"/>
    </row>
    <row r="18" spans="1:6" ht="20.100000000000001" customHeight="1">
      <c r="A18" s="219">
        <f t="shared" si="2"/>
        <v>121</v>
      </c>
      <c r="B18" s="219">
        <f t="shared" si="1"/>
        <v>135</v>
      </c>
      <c r="C18" s="194">
        <v>1</v>
      </c>
      <c r="D18" s="194">
        <v>45</v>
      </c>
      <c r="E18" s="679">
        <f t="shared" si="0"/>
        <v>45</v>
      </c>
      <c r="F18" s="679"/>
    </row>
    <row r="19" spans="1:6" ht="20.100000000000001" customHeight="1">
      <c r="A19" s="219">
        <f t="shared" si="2"/>
        <v>136</v>
      </c>
      <c r="B19" s="219">
        <f t="shared" si="1"/>
        <v>150</v>
      </c>
      <c r="C19" s="194">
        <v>1</v>
      </c>
      <c r="D19" s="194">
        <v>50</v>
      </c>
      <c r="E19" s="679">
        <f t="shared" si="0"/>
        <v>50</v>
      </c>
      <c r="F19" s="679"/>
    </row>
    <row r="20" spans="1:6" ht="20.100000000000001" customHeight="1">
      <c r="A20" s="219">
        <f t="shared" si="2"/>
        <v>151</v>
      </c>
      <c r="B20" s="219">
        <f t="shared" si="1"/>
        <v>210</v>
      </c>
      <c r="C20" s="194">
        <v>1</v>
      </c>
      <c r="D20" s="194">
        <v>70</v>
      </c>
      <c r="E20" s="679">
        <f t="shared" si="0"/>
        <v>70</v>
      </c>
      <c r="F20" s="679"/>
    </row>
    <row r="21" spans="1:6" ht="20.100000000000001" customHeight="1">
      <c r="A21" s="219">
        <f>B20+1</f>
        <v>211</v>
      </c>
      <c r="B21" s="219">
        <f t="shared" si="1"/>
        <v>225</v>
      </c>
      <c r="C21" s="194">
        <v>1</v>
      </c>
      <c r="D21" s="194">
        <v>75</v>
      </c>
      <c r="E21" s="679">
        <f t="shared" si="0"/>
        <v>75</v>
      </c>
      <c r="F21" s="679"/>
    </row>
    <row r="22" spans="1:6" ht="7.5" customHeight="1">
      <c r="A22" s="102"/>
      <c r="B22" s="102"/>
      <c r="C22" s="102"/>
      <c r="D22" s="102"/>
      <c r="E22" s="102"/>
      <c r="F22" s="102"/>
    </row>
    <row r="23" spans="1:6" ht="15.75"/>
    <row r="24" spans="1:6" ht="15.75"/>
  </sheetData>
  <mergeCells count="17">
    <mergeCell ref="E10:F10"/>
    <mergeCell ref="E12:F12"/>
    <mergeCell ref="E11:F11"/>
    <mergeCell ref="A1:F3"/>
    <mergeCell ref="A8:B8"/>
    <mergeCell ref="A9:B9"/>
    <mergeCell ref="E8:F8"/>
    <mergeCell ref="E9:F9"/>
    <mergeCell ref="E21:F21"/>
    <mergeCell ref="E13:F13"/>
    <mergeCell ref="E14:F14"/>
    <mergeCell ref="E15:F15"/>
    <mergeCell ref="E17:F17"/>
    <mergeCell ref="E18:F18"/>
    <mergeCell ref="E19:F19"/>
    <mergeCell ref="E20:F20"/>
    <mergeCell ref="E16:F1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4C7F-6737-4D28-BCCE-82F016DF8511}">
  <sheetPr>
    <tabColor theme="8" tint="-0.249977111117893"/>
    <pageSetUpPr fitToPage="1"/>
  </sheetPr>
  <dimension ref="A1:F17"/>
  <sheetViews>
    <sheetView showGridLines="0" view="pageBreakPreview" zoomScaleNormal="130" zoomScaleSheetLayoutView="100" workbookViewId="0">
      <selection activeCell="A14" sqref="A14"/>
    </sheetView>
  </sheetViews>
  <sheetFormatPr defaultColWidth="9.140625" defaultRowHeight="12.75" customHeight="1"/>
  <cols>
    <col min="1" max="1" width="12.85546875" style="73" customWidth="1"/>
    <col min="2" max="2" width="34.5703125" style="73" customWidth="1"/>
    <col min="3" max="3" width="17.7109375" style="73" customWidth="1"/>
    <col min="4" max="4" width="19.140625" style="73" customWidth="1"/>
    <col min="5" max="5" width="25.85546875" style="73" bestFit="1" customWidth="1"/>
    <col min="6" max="6" width="17.7109375" style="73" customWidth="1"/>
    <col min="7" max="7" width="15.7109375" customWidth="1"/>
    <col min="8" max="9" width="9.140625" customWidth="1"/>
  </cols>
  <sheetData>
    <row r="1" spans="1:6" ht="12.75" customHeight="1">
      <c r="A1" s="662" t="s">
        <v>0</v>
      </c>
      <c r="B1" s="662"/>
      <c r="C1" s="662"/>
      <c r="D1" s="662"/>
      <c r="E1" s="662"/>
      <c r="F1" s="662"/>
    </row>
    <row r="2" spans="1:6" ht="12.75" customHeight="1">
      <c r="A2" s="662"/>
      <c r="B2" s="662"/>
      <c r="C2" s="662"/>
      <c r="D2" s="662"/>
      <c r="E2" s="662"/>
      <c r="F2" s="662"/>
    </row>
    <row r="3" spans="1:6" ht="23.25" customHeight="1">
      <c r="A3" s="684"/>
      <c r="B3" s="684"/>
      <c r="C3" s="684"/>
      <c r="D3" s="684"/>
      <c r="E3" s="684"/>
      <c r="F3" s="684"/>
    </row>
    <row r="4" spans="1:6" ht="20.100000000000001" customHeight="1">
      <c r="A4" s="59" t="s">
        <v>424</v>
      </c>
      <c r="B4" s="59"/>
      <c r="C4" s="59"/>
      <c r="D4" s="59"/>
      <c r="E4" s="62" t="s">
        <v>425</v>
      </c>
      <c r="F4" s="77">
        <f>Município!H4</f>
        <v>45166</v>
      </c>
    </row>
    <row r="5" spans="1:6" ht="20.100000000000001" customHeight="1">
      <c r="A5" s="59" t="s">
        <v>135</v>
      </c>
      <c r="B5" s="64" t="str">
        <f>Município!B5</f>
        <v>CBH DOCE</v>
      </c>
      <c r="D5" s="83"/>
      <c r="E5" s="53"/>
      <c r="F5" s="60"/>
    </row>
    <row r="6" spans="1:6" ht="20.100000000000001" customHeight="1">
      <c r="A6" s="59" t="s">
        <v>136</v>
      </c>
      <c r="B6" s="64" t="str">
        <f>Município!B6</f>
        <v>São Sebastião do Rio Preto/MG</v>
      </c>
      <c r="D6" s="83"/>
      <c r="E6" s="53"/>
    </row>
    <row r="7" spans="1:6" ht="15.75"/>
    <row r="8" spans="1:6" ht="20.100000000000001" customHeight="1">
      <c r="A8" s="687" t="s">
        <v>426</v>
      </c>
      <c r="B8" s="687"/>
      <c r="C8" s="492" t="s">
        <v>139</v>
      </c>
      <c r="D8" s="493" t="s">
        <v>427</v>
      </c>
      <c r="E8" s="493" t="s">
        <v>428</v>
      </c>
      <c r="F8" s="492" t="s">
        <v>429</v>
      </c>
    </row>
    <row r="9" spans="1:6" ht="15.75">
      <c r="A9" s="692" t="s">
        <v>430</v>
      </c>
      <c r="B9" s="692"/>
      <c r="C9" s="692"/>
      <c r="D9" s="692"/>
      <c r="E9" s="692"/>
      <c r="F9" s="692"/>
    </row>
    <row r="10" spans="1:6" ht="27.75" customHeight="1">
      <c r="A10" s="688" t="s">
        <v>431</v>
      </c>
      <c r="B10" s="688"/>
      <c r="C10" s="221" t="s">
        <v>432</v>
      </c>
      <c r="D10" s="194">
        <f>AVERAGE(2,2)</f>
        <v>2</v>
      </c>
      <c r="E10" s="502">
        <f>Município!C24/'Cadastro Técnico'!D10</f>
        <v>0.29005830000000005</v>
      </c>
      <c r="F10" s="689">
        <f>SUM(E10:E12)*Município!C18</f>
        <v>0.28364389142727275</v>
      </c>
    </row>
    <row r="11" spans="1:6" ht="20.100000000000001" customHeight="1">
      <c r="A11" s="195" t="s">
        <v>433</v>
      </c>
      <c r="B11" s="195"/>
      <c r="C11" s="196" t="s">
        <v>434</v>
      </c>
      <c r="D11" s="222">
        <f>AVERAGE(50,60)</f>
        <v>55</v>
      </c>
      <c r="E11" s="501">
        <f>Município!C20/'Cadastro Técnico'!D11</f>
        <v>1.0240363636363636</v>
      </c>
      <c r="F11" s="690"/>
    </row>
    <row r="12" spans="1:6" ht="20.100000000000001" customHeight="1">
      <c r="A12" s="195" t="s">
        <v>435</v>
      </c>
      <c r="B12" s="195"/>
      <c r="C12" s="196" t="s">
        <v>436</v>
      </c>
      <c r="D12" s="222">
        <f>AVERAGE(40,35)</f>
        <v>37.5</v>
      </c>
      <c r="E12" s="196">
        <f>Município!C22/'Cadastro Técnico'!D12</f>
        <v>0.18666666666666668</v>
      </c>
      <c r="F12" s="691"/>
    </row>
    <row r="13" spans="1:6" s="73" customFormat="1" ht="20.100000000000001" customHeight="1">
      <c r="A13" s="73" t="s">
        <v>437</v>
      </c>
    </row>
    <row r="14" spans="1:6" s="73" customFormat="1" ht="20.100000000000001" customHeight="1"/>
    <row r="15" spans="1:6" s="73" customFormat="1" ht="7.5" customHeight="1"/>
    <row r="16" spans="1:6" s="73" customFormat="1" ht="15.75"/>
    <row r="17" s="73" customFormat="1" ht="15.75"/>
  </sheetData>
  <mergeCells count="5">
    <mergeCell ref="A1:F3"/>
    <mergeCell ref="A8:B8"/>
    <mergeCell ref="A10:B10"/>
    <mergeCell ref="F10:F12"/>
    <mergeCell ref="A9:F9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  <pageSetUpPr fitToPage="1"/>
  </sheetPr>
  <dimension ref="A1:G21"/>
  <sheetViews>
    <sheetView showGridLines="0" view="pageBreakPreview" zoomScale="130" zoomScaleNormal="130" zoomScaleSheetLayoutView="130" workbookViewId="0">
      <selection activeCell="E16" sqref="E16"/>
    </sheetView>
  </sheetViews>
  <sheetFormatPr defaultColWidth="9.140625" defaultRowHeight="12.75" customHeight="1"/>
  <cols>
    <col min="1" max="1" width="12.85546875" style="73" customWidth="1"/>
    <col min="2" max="2" width="28" style="73" customWidth="1"/>
    <col min="3" max="7" width="17.7109375" style="73" customWidth="1"/>
    <col min="8" max="8" width="15.7109375" customWidth="1"/>
    <col min="9" max="10" width="9.140625" customWidth="1"/>
  </cols>
  <sheetData>
    <row r="1" spans="1:7" ht="12.75" customHeight="1">
      <c r="A1" s="662" t="s">
        <v>0</v>
      </c>
      <c r="B1" s="662"/>
      <c r="C1" s="662"/>
      <c r="D1" s="662"/>
      <c r="E1" s="662"/>
      <c r="F1" s="662"/>
      <c r="G1" s="662"/>
    </row>
    <row r="2" spans="1:7" ht="12.75" customHeight="1">
      <c r="A2" s="662"/>
      <c r="B2" s="662"/>
      <c r="C2" s="662"/>
      <c r="D2" s="662"/>
      <c r="E2" s="662"/>
      <c r="F2" s="662"/>
      <c r="G2" s="662"/>
    </row>
    <row r="3" spans="1:7" ht="23.25" customHeight="1">
      <c r="A3" s="684"/>
      <c r="B3" s="684"/>
      <c r="C3" s="684"/>
      <c r="D3" s="684"/>
      <c r="E3" s="684"/>
      <c r="F3" s="684"/>
      <c r="G3" s="684"/>
    </row>
    <row r="4" spans="1:7" ht="20.100000000000001" customHeight="1">
      <c r="A4" s="59" t="s">
        <v>438</v>
      </c>
      <c r="B4" s="59"/>
      <c r="C4" s="59"/>
      <c r="D4" s="59"/>
      <c r="E4" s="60"/>
      <c r="F4" s="62" t="s">
        <v>134</v>
      </c>
      <c r="G4" s="77">
        <f>Município!H4</f>
        <v>45166</v>
      </c>
    </row>
    <row r="5" spans="1:7" ht="20.100000000000001" customHeight="1">
      <c r="A5" s="59" t="s">
        <v>135</v>
      </c>
      <c r="B5" s="64" t="str">
        <f>Município!B5</f>
        <v>CBH DOCE</v>
      </c>
      <c r="D5" s="83"/>
      <c r="E5" s="53"/>
      <c r="F5" s="60"/>
      <c r="G5" s="60"/>
    </row>
    <row r="6" spans="1:7" ht="20.100000000000001" customHeight="1">
      <c r="A6" s="59" t="s">
        <v>136</v>
      </c>
      <c r="B6" s="64" t="str">
        <f>Município!B6</f>
        <v>São Sebastião do Rio Preto/MG</v>
      </c>
      <c r="D6" s="83"/>
      <c r="E6" s="53"/>
      <c r="F6" s="60"/>
    </row>
    <row r="7" spans="1:7" ht="15.75"/>
    <row r="8" spans="1:7" ht="20.100000000000001" customHeight="1">
      <c r="A8" s="694" t="s">
        <v>258</v>
      </c>
      <c r="B8" s="694"/>
      <c r="C8" s="494"/>
      <c r="D8" s="693" t="s">
        <v>439</v>
      </c>
      <c r="E8" s="693"/>
      <c r="F8" s="693"/>
      <c r="G8" s="693"/>
    </row>
    <row r="9" spans="1:7" ht="20.100000000000001" customHeight="1">
      <c r="A9" s="695"/>
      <c r="B9" s="695"/>
      <c r="C9" s="492" t="s">
        <v>139</v>
      </c>
      <c r="D9" s="493" t="s">
        <v>440</v>
      </c>
      <c r="E9" s="493" t="s">
        <v>441</v>
      </c>
      <c r="F9" s="493" t="s">
        <v>442</v>
      </c>
      <c r="G9" s="493" t="s">
        <v>443</v>
      </c>
    </row>
    <row r="10" spans="1:7" ht="20.100000000000001" customHeight="1">
      <c r="A10" s="195" t="str">
        <f>Custos!B49</f>
        <v>Veículo tipo pick-up 4X4</v>
      </c>
      <c r="B10" s="195"/>
      <c r="C10" s="196" t="s">
        <v>226</v>
      </c>
      <c r="D10" s="295">
        <v>150</v>
      </c>
      <c r="E10" s="222">
        <v>200</v>
      </c>
      <c r="F10" s="222">
        <v>300</v>
      </c>
      <c r="G10" s="222">
        <v>400</v>
      </c>
    </row>
    <row r="11" spans="1:7" ht="7.5" customHeight="1"/>
    <row r="12" spans="1:7" ht="30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7.5" customHeight="1"/>
    <row r="20" ht="15.75"/>
    <row r="21" ht="15.75"/>
  </sheetData>
  <mergeCells count="3">
    <mergeCell ref="D8:G8"/>
    <mergeCell ref="A1:G3"/>
    <mergeCell ref="A8:B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FA75-F759-46C0-884B-CCAB895BACA0}">
  <sheetPr>
    <tabColor theme="8" tint="-0.249977111117893"/>
    <pageSetUpPr fitToPage="1"/>
  </sheetPr>
  <dimension ref="A1:U29"/>
  <sheetViews>
    <sheetView showGridLines="0" view="pageBreakPreview" topLeftCell="F1" zoomScaleNormal="100" zoomScaleSheetLayoutView="100" workbookViewId="0">
      <selection activeCell="O24" sqref="O24"/>
    </sheetView>
  </sheetViews>
  <sheetFormatPr defaultColWidth="9.140625" defaultRowHeight="15.75"/>
  <cols>
    <col min="1" max="1" width="15.140625" style="104" customWidth="1"/>
    <col min="2" max="2" width="28" style="104" bestFit="1" customWidth="1"/>
    <col min="3" max="3" width="14" style="104" customWidth="1"/>
    <col min="4" max="4" width="13.5703125" style="104" customWidth="1"/>
    <col min="5" max="11" width="12.7109375" style="104" customWidth="1"/>
    <col min="12" max="12" width="8.140625" customWidth="1"/>
    <col min="13" max="13" width="8.7109375" customWidth="1"/>
    <col min="14" max="14" width="5.28515625" customWidth="1"/>
    <col min="15" max="15" width="6" customWidth="1"/>
    <col min="17" max="18" width="4.140625" bestFit="1" customWidth="1"/>
    <col min="19" max="16384" width="9.140625" style="104"/>
  </cols>
  <sheetData>
    <row r="1" spans="1:21" ht="20.25" customHeight="1">
      <c r="A1" s="642" t="s">
        <v>170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</row>
    <row r="2" spans="1:21" ht="20.25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</row>
    <row r="3" spans="1:21" ht="14.25" customHeight="1">
      <c r="A3" s="105"/>
      <c r="B3" s="75"/>
      <c r="C3" s="75"/>
      <c r="D3" s="76"/>
      <c r="E3" s="76"/>
      <c r="F3" s="76"/>
      <c r="G3" s="76"/>
      <c r="H3" s="76"/>
      <c r="I3" s="76"/>
      <c r="J3" s="106"/>
    </row>
    <row r="4" spans="1:21" ht="20.25" customHeight="1">
      <c r="A4" s="107" t="s">
        <v>444</v>
      </c>
      <c r="B4" s="59"/>
      <c r="C4" s="59"/>
      <c r="D4" s="60"/>
      <c r="E4" s="80"/>
      <c r="F4" s="53"/>
      <c r="G4" s="60"/>
      <c r="J4" s="62" t="s">
        <v>134</v>
      </c>
      <c r="K4" s="77">
        <f>Município!H4</f>
        <v>45166</v>
      </c>
    </row>
    <row r="5" spans="1:21" ht="20.25" customHeight="1">
      <c r="A5" s="107" t="s">
        <v>135</v>
      </c>
      <c r="B5" s="64" t="str">
        <f>Município!B5</f>
        <v>CBH DOCE</v>
      </c>
      <c r="C5" s="82"/>
      <c r="D5" s="83"/>
      <c r="E5" s="83"/>
      <c r="F5" s="53"/>
      <c r="G5" s="60"/>
      <c r="H5" s="60"/>
      <c r="I5" s="60"/>
      <c r="J5" s="106"/>
    </row>
    <row r="6" spans="1:21" ht="20.25" customHeight="1">
      <c r="A6" s="107" t="s">
        <v>136</v>
      </c>
      <c r="B6" s="64" t="str">
        <f>Município!B6</f>
        <v>São Sebastião do Rio Preto/MG</v>
      </c>
      <c r="C6" s="82"/>
      <c r="D6" s="83"/>
      <c r="E6" s="83"/>
      <c r="F6" s="53"/>
      <c r="G6" s="60"/>
      <c r="H6" s="60"/>
      <c r="I6" s="60"/>
      <c r="J6" s="106"/>
    </row>
    <row r="7" spans="1:21" ht="14.25" customHeight="1">
      <c r="B7" s="108"/>
      <c r="C7" s="108"/>
      <c r="D7" s="109"/>
      <c r="E7" s="109"/>
      <c r="F7" s="109"/>
      <c r="G7" s="108"/>
      <c r="H7" s="110"/>
      <c r="I7" s="111"/>
      <c r="J7" s="112"/>
    </row>
    <row r="8" spans="1:21" ht="20.25" customHeight="1">
      <c r="A8" s="699" t="s">
        <v>445</v>
      </c>
      <c r="B8" s="699"/>
      <c r="C8" s="450">
        <v>1</v>
      </c>
      <c r="D8" s="448">
        <v>2</v>
      </c>
      <c r="E8" s="448">
        <v>3</v>
      </c>
      <c r="F8" s="448">
        <v>4</v>
      </c>
      <c r="G8" s="448">
        <v>5</v>
      </c>
      <c r="H8" s="448">
        <v>6</v>
      </c>
      <c r="I8" s="448">
        <v>7</v>
      </c>
      <c r="J8" s="448">
        <v>8</v>
      </c>
      <c r="K8" s="699" t="s">
        <v>446</v>
      </c>
      <c r="L8" s="526"/>
      <c r="M8" s="696" t="s">
        <v>447</v>
      </c>
      <c r="N8" s="696"/>
      <c r="O8" s="696"/>
      <c r="P8" s="696"/>
      <c r="Q8" s="696"/>
      <c r="R8" s="530"/>
    </row>
    <row r="9" spans="1:21" s="83" customFormat="1" ht="43.5" customHeight="1">
      <c r="A9" s="698" t="s">
        <v>448</v>
      </c>
      <c r="B9" s="698"/>
      <c r="C9" s="449" t="s">
        <v>449</v>
      </c>
      <c r="D9" s="449" t="s">
        <v>450</v>
      </c>
      <c r="E9" s="449" t="s">
        <v>451</v>
      </c>
      <c r="F9" s="449" t="s">
        <v>452</v>
      </c>
      <c r="G9" s="449" t="s">
        <v>453</v>
      </c>
      <c r="H9" s="449" t="s">
        <v>454</v>
      </c>
      <c r="I9" s="449" t="s">
        <v>455</v>
      </c>
      <c r="J9" s="449" t="s">
        <v>456</v>
      </c>
      <c r="K9" s="700"/>
      <c r="L9" s="526"/>
      <c r="M9" s="527" t="s">
        <v>457</v>
      </c>
      <c r="N9" s="527" t="s">
        <v>458</v>
      </c>
      <c r="O9" s="527"/>
      <c r="P9" s="527" t="s">
        <v>459</v>
      </c>
      <c r="Q9" s="527" t="s">
        <v>460</v>
      </c>
      <c r="R9" s="527"/>
      <c r="S9" s="316"/>
    </row>
    <row r="10" spans="1:21" s="103" customFormat="1" ht="20.25" customHeight="1">
      <c r="A10" s="697" t="s">
        <v>178</v>
      </c>
      <c r="B10" s="223" t="s">
        <v>409</v>
      </c>
      <c r="C10" s="288">
        <v>10</v>
      </c>
      <c r="D10" s="288">
        <v>0</v>
      </c>
      <c r="E10" s="288">
        <v>0</v>
      </c>
      <c r="F10" s="288">
        <f>L10*M10</f>
        <v>14.399999999999999</v>
      </c>
      <c r="G10" s="288">
        <f>L10*N10</f>
        <v>14.399999999999999</v>
      </c>
      <c r="H10" s="288">
        <v>0</v>
      </c>
      <c r="I10" s="288">
        <f>L10*P10</f>
        <v>4.8000000000000007</v>
      </c>
      <c r="J10" s="288">
        <f>L10*Q10</f>
        <v>14.399999999999999</v>
      </c>
      <c r="K10" s="288">
        <f>SUM(C10:J10)</f>
        <v>57.999999999999993</v>
      </c>
      <c r="L10" s="528">
        <v>48</v>
      </c>
      <c r="M10" s="529">
        <v>0.3</v>
      </c>
      <c r="N10" s="529">
        <v>0.3</v>
      </c>
      <c r="O10" s="529"/>
      <c r="P10" s="529">
        <v>0.1</v>
      </c>
      <c r="Q10" s="529">
        <v>0.3</v>
      </c>
      <c r="R10" s="529"/>
      <c r="S10" s="317"/>
    </row>
    <row r="11" spans="1:21" s="103" customFormat="1" ht="20.25" customHeight="1">
      <c r="A11" s="697"/>
      <c r="B11" s="223" t="s">
        <v>410</v>
      </c>
      <c r="C11" s="288">
        <v>10</v>
      </c>
      <c r="D11" s="288">
        <v>0</v>
      </c>
      <c r="E11" s="288">
        <v>0</v>
      </c>
      <c r="F11" s="288">
        <f>L11*M11</f>
        <v>40</v>
      </c>
      <c r="G11" s="288">
        <f t="shared" ref="G11:G19" si="0">L11*N11</f>
        <v>57.142857142857146</v>
      </c>
      <c r="H11" s="288">
        <v>0</v>
      </c>
      <c r="I11" s="288">
        <f t="shared" ref="I11:I19" si="1">L11*P11</f>
        <v>5.7142857142857135</v>
      </c>
      <c r="J11" s="288">
        <f t="shared" ref="J11:J20" si="2">L11*Q11</f>
        <v>57.142857142857146</v>
      </c>
      <c r="K11" s="288">
        <f t="shared" ref="K11:K20" si="3">SUM(C11:J11)</f>
        <v>170</v>
      </c>
      <c r="L11" s="528">
        <v>160</v>
      </c>
      <c r="M11" s="529">
        <v>0.25</v>
      </c>
      <c r="N11" s="529">
        <v>0.35714285714285715</v>
      </c>
      <c r="O11" s="529"/>
      <c r="P11" s="529">
        <v>3.5714285714285712E-2</v>
      </c>
      <c r="Q11" s="529">
        <v>0.35714285714285715</v>
      </c>
      <c r="R11" s="529"/>
      <c r="S11" s="317"/>
      <c r="U11" s="353"/>
    </row>
    <row r="12" spans="1:21" s="103" customFormat="1" ht="20.25" customHeight="1">
      <c r="A12" s="697"/>
      <c r="B12" s="223" t="s">
        <v>411</v>
      </c>
      <c r="C12" s="288">
        <v>20</v>
      </c>
      <c r="D12" s="288">
        <v>4</v>
      </c>
      <c r="E12" s="288">
        <v>4</v>
      </c>
      <c r="F12" s="288">
        <f t="shared" ref="F12:F19" si="4">L12*M12</f>
        <v>38.4</v>
      </c>
      <c r="G12" s="288">
        <f t="shared" si="0"/>
        <v>51.2</v>
      </c>
      <c r="H12" s="288">
        <v>4</v>
      </c>
      <c r="I12" s="288">
        <f t="shared" si="1"/>
        <v>19.2</v>
      </c>
      <c r="J12" s="288">
        <f t="shared" si="2"/>
        <v>51.2</v>
      </c>
      <c r="K12" s="288">
        <f t="shared" si="3"/>
        <v>192</v>
      </c>
      <c r="L12" s="528">
        <v>160</v>
      </c>
      <c r="M12" s="529">
        <v>0.24</v>
      </c>
      <c r="N12" s="529">
        <v>0.32</v>
      </c>
      <c r="O12" s="529"/>
      <c r="P12" s="529">
        <v>0.12</v>
      </c>
      <c r="Q12" s="529">
        <v>0.32</v>
      </c>
      <c r="R12" s="529"/>
      <c r="S12" s="317"/>
    </row>
    <row r="13" spans="1:21" s="103" customFormat="1" ht="20.25" customHeight="1">
      <c r="A13" s="697"/>
      <c r="B13" s="223" t="s">
        <v>750</v>
      </c>
      <c r="C13" s="288">
        <v>20</v>
      </c>
      <c r="D13" s="288">
        <v>4</v>
      </c>
      <c r="E13" s="288">
        <v>4</v>
      </c>
      <c r="F13" s="288">
        <f t="shared" ref="F13" si="5">L13*M13</f>
        <v>20</v>
      </c>
      <c r="G13" s="288">
        <f t="shared" ref="G13" si="6">L13*N13</f>
        <v>20</v>
      </c>
      <c r="H13" s="288">
        <v>4</v>
      </c>
      <c r="I13" s="288">
        <f t="shared" ref="I13" si="7">L13*P13</f>
        <v>20</v>
      </c>
      <c r="J13" s="288">
        <f t="shared" ref="J13" si="8">L13*Q13</f>
        <v>20</v>
      </c>
      <c r="K13" s="288">
        <f t="shared" ref="K13" si="9">SUM(C13:J13)</f>
        <v>112</v>
      </c>
      <c r="L13" s="528">
        <v>80</v>
      </c>
      <c r="M13" s="529">
        <v>0.25</v>
      </c>
      <c r="N13" s="529">
        <v>0.25</v>
      </c>
      <c r="O13" s="529"/>
      <c r="P13" s="529">
        <v>0.25</v>
      </c>
      <c r="Q13" s="529">
        <v>0.25</v>
      </c>
      <c r="R13" s="529"/>
      <c r="S13" s="317"/>
    </row>
    <row r="14" spans="1:21" s="103" customFormat="1" ht="20.25" customHeight="1">
      <c r="A14" s="697"/>
      <c r="B14" s="731" t="s">
        <v>751</v>
      </c>
      <c r="C14" s="730">
        <v>10</v>
      </c>
      <c r="D14" s="730">
        <v>4</v>
      </c>
      <c r="E14" s="730">
        <v>4</v>
      </c>
      <c r="F14" s="730">
        <f>L14*M14</f>
        <v>20</v>
      </c>
      <c r="G14" s="730">
        <f t="shared" si="0"/>
        <v>20</v>
      </c>
      <c r="H14" s="730">
        <v>4</v>
      </c>
      <c r="I14" s="730">
        <f t="shared" si="1"/>
        <v>20</v>
      </c>
      <c r="J14" s="730">
        <f t="shared" si="2"/>
        <v>20</v>
      </c>
      <c r="K14" s="730">
        <f t="shared" si="3"/>
        <v>102</v>
      </c>
      <c r="L14" s="528">
        <v>80</v>
      </c>
      <c r="M14" s="529">
        <v>0.25</v>
      </c>
      <c r="N14" s="529">
        <v>0.25</v>
      </c>
      <c r="O14" s="529"/>
      <c r="P14" s="529">
        <v>0.25</v>
      </c>
      <c r="Q14" s="529">
        <v>0.25</v>
      </c>
      <c r="R14" s="529"/>
      <c r="S14" s="317"/>
    </row>
    <row r="15" spans="1:21" s="103" customFormat="1" ht="20.25" customHeight="1">
      <c r="A15" s="697" t="s">
        <v>461</v>
      </c>
      <c r="B15" s="223" t="s">
        <v>413</v>
      </c>
      <c r="C15" s="288">
        <v>0</v>
      </c>
      <c r="D15" s="288">
        <v>0</v>
      </c>
      <c r="E15" s="288">
        <v>0</v>
      </c>
      <c r="F15" s="288">
        <f t="shared" si="4"/>
        <v>1.75</v>
      </c>
      <c r="G15" s="288">
        <f t="shared" si="0"/>
        <v>1.75</v>
      </c>
      <c r="H15" s="288">
        <v>0</v>
      </c>
      <c r="I15" s="288">
        <f t="shared" si="1"/>
        <v>1.75</v>
      </c>
      <c r="J15" s="288">
        <f t="shared" si="2"/>
        <v>1.75</v>
      </c>
      <c r="K15" s="288">
        <f t="shared" si="3"/>
        <v>7</v>
      </c>
      <c r="L15" s="528">
        <v>7</v>
      </c>
      <c r="M15" s="529">
        <v>0.25</v>
      </c>
      <c r="N15" s="529">
        <v>0.25</v>
      </c>
      <c r="O15" s="529"/>
      <c r="P15" s="529">
        <v>0.25</v>
      </c>
      <c r="Q15" s="529">
        <v>0.25</v>
      </c>
      <c r="R15" s="529"/>
      <c r="S15" s="317"/>
    </row>
    <row r="16" spans="1:21" customFormat="1" ht="20.25" customHeight="1">
      <c r="A16" s="697"/>
      <c r="B16" s="223" t="s">
        <v>462</v>
      </c>
      <c r="C16" s="288">
        <v>0</v>
      </c>
      <c r="D16" s="288">
        <v>0</v>
      </c>
      <c r="E16" s="288">
        <v>0</v>
      </c>
      <c r="F16" s="288">
        <f t="shared" si="4"/>
        <v>0</v>
      </c>
      <c r="G16" s="288">
        <f t="shared" si="0"/>
        <v>2.8000000000000003</v>
      </c>
      <c r="H16" s="288">
        <v>0</v>
      </c>
      <c r="I16" s="288">
        <f t="shared" si="1"/>
        <v>0</v>
      </c>
      <c r="J16" s="288">
        <f t="shared" si="2"/>
        <v>11.200000000000001</v>
      </c>
      <c r="K16" s="288">
        <f t="shared" si="3"/>
        <v>14.000000000000002</v>
      </c>
      <c r="L16" s="528">
        <v>14</v>
      </c>
      <c r="M16" s="529">
        <v>0</v>
      </c>
      <c r="N16" s="529">
        <v>0.2</v>
      </c>
      <c r="O16" s="529"/>
      <c r="P16" s="529">
        <v>0</v>
      </c>
      <c r="Q16" s="529">
        <v>0.8</v>
      </c>
      <c r="R16" s="529"/>
      <c r="S16" s="317"/>
    </row>
    <row r="17" spans="1:20" customFormat="1" ht="20.25" customHeight="1">
      <c r="A17" s="697"/>
      <c r="B17" s="223" t="s">
        <v>415</v>
      </c>
      <c r="C17" s="288">
        <v>0</v>
      </c>
      <c r="D17" s="288">
        <v>0</v>
      </c>
      <c r="E17" s="288">
        <v>0</v>
      </c>
      <c r="F17" s="288">
        <f t="shared" si="4"/>
        <v>0</v>
      </c>
      <c r="G17" s="288">
        <f t="shared" si="0"/>
        <v>8.4</v>
      </c>
      <c r="H17" s="288">
        <v>0</v>
      </c>
      <c r="I17" s="288">
        <f t="shared" si="1"/>
        <v>0</v>
      </c>
      <c r="J17" s="288">
        <f t="shared" si="2"/>
        <v>12.6</v>
      </c>
      <c r="K17" s="288">
        <f t="shared" si="3"/>
        <v>21</v>
      </c>
      <c r="L17" s="528">
        <v>21</v>
      </c>
      <c r="M17" s="529">
        <v>0</v>
      </c>
      <c r="N17" s="529">
        <v>0.4</v>
      </c>
      <c r="O17" s="529"/>
      <c r="P17" s="529">
        <v>0</v>
      </c>
      <c r="Q17" s="529">
        <v>0.6</v>
      </c>
      <c r="R17" s="529"/>
      <c r="S17" s="317"/>
    </row>
    <row r="18" spans="1:20" customFormat="1" ht="20.25" customHeight="1">
      <c r="A18" s="697"/>
      <c r="B18" s="223" t="s">
        <v>417</v>
      </c>
      <c r="C18" s="288">
        <v>0</v>
      </c>
      <c r="D18" s="288">
        <v>0</v>
      </c>
      <c r="E18" s="288">
        <v>0</v>
      </c>
      <c r="F18" s="288">
        <f t="shared" si="4"/>
        <v>0</v>
      </c>
      <c r="G18" s="288">
        <f t="shared" si="0"/>
        <v>2.8000000000000003</v>
      </c>
      <c r="H18" s="288">
        <v>0</v>
      </c>
      <c r="I18" s="288">
        <f t="shared" si="1"/>
        <v>0</v>
      </c>
      <c r="J18" s="288">
        <f t="shared" si="2"/>
        <v>11.200000000000001</v>
      </c>
      <c r="K18" s="288">
        <f t="shared" si="3"/>
        <v>14.000000000000002</v>
      </c>
      <c r="L18" s="528">
        <v>14</v>
      </c>
      <c r="M18" s="529">
        <v>0</v>
      </c>
      <c r="N18" s="529">
        <v>0.2</v>
      </c>
      <c r="O18" s="529"/>
      <c r="P18" s="529">
        <v>0</v>
      </c>
      <c r="Q18" s="529">
        <v>0.8</v>
      </c>
      <c r="R18" s="529"/>
      <c r="S18" s="317"/>
    </row>
    <row r="19" spans="1:20" customFormat="1" ht="20.25" customHeight="1">
      <c r="A19" s="697"/>
      <c r="B19" s="223" t="s">
        <v>203</v>
      </c>
      <c r="C19" s="288">
        <v>0</v>
      </c>
      <c r="D19" s="288">
        <v>0</v>
      </c>
      <c r="E19" s="288">
        <v>0</v>
      </c>
      <c r="F19" s="288">
        <f t="shared" si="4"/>
        <v>0</v>
      </c>
      <c r="G19" s="288">
        <f t="shared" si="0"/>
        <v>0</v>
      </c>
      <c r="H19" s="288">
        <v>0</v>
      </c>
      <c r="I19" s="288">
        <f t="shared" si="1"/>
        <v>14</v>
      </c>
      <c r="J19" s="288">
        <f t="shared" si="2"/>
        <v>0</v>
      </c>
      <c r="K19" s="288">
        <f t="shared" si="3"/>
        <v>14</v>
      </c>
      <c r="L19" s="528">
        <v>14</v>
      </c>
      <c r="M19" s="529">
        <v>0</v>
      </c>
      <c r="N19" s="529">
        <v>0</v>
      </c>
      <c r="O19" s="526"/>
      <c r="P19" s="529">
        <v>1</v>
      </c>
      <c r="Q19" s="529">
        <v>0</v>
      </c>
      <c r="R19" s="526"/>
      <c r="S19" s="317"/>
    </row>
    <row r="20" spans="1:20" customFormat="1" ht="20.25" customHeight="1">
      <c r="A20" s="697"/>
      <c r="B20" s="223" t="s">
        <v>463</v>
      </c>
      <c r="C20" s="288">
        <v>0</v>
      </c>
      <c r="D20" s="288">
        <v>0</v>
      </c>
      <c r="E20" s="288">
        <v>14</v>
      </c>
      <c r="F20" s="288">
        <v>0</v>
      </c>
      <c r="G20" s="288">
        <v>0</v>
      </c>
      <c r="H20" s="288">
        <v>0</v>
      </c>
      <c r="I20" s="288">
        <v>0</v>
      </c>
      <c r="J20" s="288">
        <f t="shared" si="2"/>
        <v>0</v>
      </c>
      <c r="K20" s="288">
        <f t="shared" si="3"/>
        <v>14</v>
      </c>
      <c r="L20" s="528">
        <v>14</v>
      </c>
      <c r="M20" s="526"/>
      <c r="N20" s="526"/>
      <c r="O20" s="526"/>
      <c r="P20" s="526"/>
      <c r="Q20" s="526"/>
      <c r="R20" s="529"/>
      <c r="S20" s="317"/>
    </row>
    <row r="21" spans="1:20" customFormat="1" ht="12.75">
      <c r="N21" s="278"/>
      <c r="O21" s="278"/>
      <c r="P21" s="278"/>
      <c r="Q21" s="278"/>
      <c r="R21" s="278"/>
    </row>
    <row r="22" spans="1:20" customFormat="1" ht="12.75"/>
    <row r="23" spans="1:20" customFormat="1" ht="12.75"/>
    <row r="24" spans="1:20" customFormat="1" ht="12.75"/>
    <row r="25" spans="1:20">
      <c r="I25"/>
      <c r="J25"/>
      <c r="K25"/>
      <c r="S25"/>
      <c r="T25"/>
    </row>
    <row r="26" spans="1:20">
      <c r="I26"/>
      <c r="J26"/>
      <c r="K26"/>
      <c r="S26"/>
      <c r="T26"/>
    </row>
    <row r="27" spans="1:20">
      <c r="I27"/>
      <c r="J27"/>
      <c r="K27"/>
      <c r="S27"/>
      <c r="T27"/>
    </row>
    <row r="28" spans="1:20">
      <c r="I28"/>
      <c r="J28"/>
      <c r="K28"/>
      <c r="S28"/>
      <c r="T28"/>
    </row>
    <row r="29" spans="1:20">
      <c r="I29"/>
      <c r="J29"/>
      <c r="K29"/>
      <c r="S29"/>
      <c r="T29"/>
    </row>
  </sheetData>
  <mergeCells count="7">
    <mergeCell ref="M8:Q8"/>
    <mergeCell ref="A15:A20"/>
    <mergeCell ref="A9:B9"/>
    <mergeCell ref="A1:K2"/>
    <mergeCell ref="A8:B8"/>
    <mergeCell ref="K8:K9"/>
    <mergeCell ref="A10:A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7FE8-FB14-43FB-80B6-83FBA2EC20FE}">
  <sheetPr>
    <tabColor theme="8" tint="-0.249977111117893"/>
    <pageSetUpPr fitToPage="1"/>
  </sheetPr>
  <dimension ref="A1:T24"/>
  <sheetViews>
    <sheetView showGridLines="0" zoomScaleNormal="100" zoomScaleSheetLayoutView="80" workbookViewId="0">
      <selection activeCell="F14" sqref="F14"/>
    </sheetView>
  </sheetViews>
  <sheetFormatPr defaultColWidth="9.140625" defaultRowHeight="15.75"/>
  <cols>
    <col min="1" max="1" width="17.7109375" style="179" customWidth="1"/>
    <col min="2" max="2" width="52.85546875" style="179" bestFit="1" customWidth="1"/>
    <col min="3" max="3" width="11" style="179" customWidth="1"/>
    <col min="4" max="4" width="13.5703125" style="179" bestFit="1" customWidth="1"/>
    <col min="5" max="5" width="15.42578125" style="179" customWidth="1"/>
    <col min="6" max="6" width="11.7109375" style="179" bestFit="1" customWidth="1"/>
    <col min="7" max="7" width="12.85546875" style="179" customWidth="1"/>
    <col min="8" max="8" width="13" style="179" bestFit="1" customWidth="1"/>
    <col min="9" max="9" width="16.140625" style="179" customWidth="1"/>
    <col min="10" max="10" width="13.28515625" style="179" customWidth="1"/>
    <col min="11" max="11" width="10.5703125" style="179" bestFit="1" customWidth="1"/>
    <col min="12" max="12" width="7.140625" style="179" bestFit="1" customWidth="1"/>
    <col min="13" max="13" width="15.140625" style="179" customWidth="1"/>
    <col min="14" max="14" width="3.42578125" style="179" customWidth="1"/>
    <col min="15" max="19" width="3.85546875" style="179" customWidth="1"/>
    <col min="20" max="16384" width="9.140625" style="179"/>
  </cols>
  <sheetData>
    <row r="1" spans="1:20" ht="20.25" customHeight="1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56"/>
      <c r="O1" s="56"/>
      <c r="P1" s="56"/>
    </row>
    <row r="2" spans="1:20" ht="20.2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56"/>
      <c r="O2" s="56"/>
      <c r="P2" s="56"/>
    </row>
    <row r="3" spans="1:20" ht="14.25" customHeight="1">
      <c r="A3" s="180"/>
      <c r="B3" s="181"/>
      <c r="C3" s="181"/>
      <c r="D3" s="181"/>
      <c r="E3" s="181"/>
      <c r="F3" s="76"/>
      <c r="G3" s="76"/>
      <c r="H3" s="76"/>
      <c r="I3" s="76"/>
      <c r="J3" s="76"/>
      <c r="K3" s="76"/>
      <c r="L3" s="76"/>
      <c r="M3" s="182"/>
    </row>
    <row r="4" spans="1:20" ht="20.25" customHeight="1">
      <c r="A4" s="107" t="s">
        <v>464</v>
      </c>
      <c r="B4" s="59"/>
      <c r="C4" s="59"/>
      <c r="D4" s="59"/>
      <c r="E4" s="59"/>
      <c r="F4" s="183"/>
      <c r="G4" s="78"/>
      <c r="H4" s="183"/>
      <c r="L4" s="62" t="s">
        <v>134</v>
      </c>
      <c r="M4" s="77">
        <f>Município!H4</f>
        <v>45166</v>
      </c>
    </row>
    <row r="5" spans="1:20" ht="20.25" customHeight="1">
      <c r="A5" s="107" t="s">
        <v>135</v>
      </c>
      <c r="B5" s="64" t="str">
        <f>Município!B5</f>
        <v>CBH DOCE</v>
      </c>
      <c r="C5" s="82"/>
      <c r="F5" s="83"/>
      <c r="G5" s="78"/>
      <c r="H5" s="183"/>
      <c r="I5" s="183"/>
      <c r="J5" s="183"/>
      <c r="K5" s="183"/>
      <c r="L5" s="183"/>
      <c r="M5" s="182"/>
    </row>
    <row r="6" spans="1:20" ht="20.25" customHeight="1">
      <c r="A6" s="107" t="s">
        <v>136</v>
      </c>
      <c r="B6" s="64" t="str">
        <f>Município!B6</f>
        <v>São Sebastião do Rio Preto/MG</v>
      </c>
      <c r="C6" s="82"/>
      <c r="F6" s="83"/>
      <c r="G6" s="78"/>
      <c r="H6" s="183"/>
      <c r="I6" s="183"/>
      <c r="J6" s="183"/>
      <c r="K6" s="183"/>
      <c r="L6" s="183"/>
      <c r="M6" s="182"/>
    </row>
    <row r="7" spans="1:20" ht="14.25" customHeight="1">
      <c r="B7" s="108"/>
      <c r="C7" s="108"/>
      <c r="D7" s="108"/>
      <c r="E7" s="108"/>
      <c r="F7" s="109"/>
      <c r="G7" s="109"/>
      <c r="H7" s="108"/>
      <c r="I7" s="110"/>
      <c r="J7" s="110"/>
      <c r="K7" s="110"/>
      <c r="L7" s="111"/>
      <c r="M7" s="184"/>
    </row>
    <row r="8" spans="1:20" ht="20.25" customHeight="1">
      <c r="A8" s="699" t="s">
        <v>445</v>
      </c>
      <c r="B8" s="699"/>
      <c r="C8" s="450"/>
      <c r="D8" s="448">
        <v>1</v>
      </c>
      <c r="E8" s="448">
        <v>2</v>
      </c>
      <c r="F8" s="448">
        <v>3</v>
      </c>
      <c r="G8" s="448">
        <v>4</v>
      </c>
      <c r="H8" s="448">
        <v>5</v>
      </c>
      <c r="I8" s="448">
        <v>6</v>
      </c>
      <c r="J8" s="448">
        <v>7</v>
      </c>
      <c r="K8" s="448">
        <v>8</v>
      </c>
      <c r="L8" s="699" t="s">
        <v>465</v>
      </c>
      <c r="M8" s="699" t="s">
        <v>139</v>
      </c>
      <c r="N8" s="42"/>
    </row>
    <row r="9" spans="1:20" ht="33.75" customHeight="1">
      <c r="A9" s="698" t="s">
        <v>448</v>
      </c>
      <c r="B9" s="698"/>
      <c r="C9" s="449"/>
      <c r="D9" s="449" t="s">
        <v>449</v>
      </c>
      <c r="E9" s="449" t="s">
        <v>450</v>
      </c>
      <c r="F9" s="449" t="s">
        <v>466</v>
      </c>
      <c r="G9" s="449" t="s">
        <v>452</v>
      </c>
      <c r="H9" s="449" t="s">
        <v>453</v>
      </c>
      <c r="I9" s="449" t="s">
        <v>454</v>
      </c>
      <c r="J9" s="449" t="s">
        <v>455</v>
      </c>
      <c r="K9" s="449" t="s">
        <v>456</v>
      </c>
      <c r="L9" s="704"/>
      <c r="M9" s="704"/>
      <c r="N9" s="42"/>
    </row>
    <row r="10" spans="1:20" ht="20.25" customHeight="1">
      <c r="A10" s="701" t="s">
        <v>217</v>
      </c>
      <c r="B10" s="223" t="str">
        <f>Custos!B37</f>
        <v>SERVIÇOS DE TOPOGRAFIA</v>
      </c>
      <c r="C10" s="223"/>
      <c r="D10" s="194">
        <v>0</v>
      </c>
      <c r="E10" s="219">
        <f>Deslocamento!E19</f>
        <v>566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76">
        <v>0</v>
      </c>
      <c r="L10" s="224">
        <f>SUM(D10:K10)</f>
        <v>566</v>
      </c>
      <c r="M10" s="224">
        <f>Custos!G37</f>
        <v>0</v>
      </c>
      <c r="N10" s="42"/>
      <c r="O10" s="279"/>
      <c r="P10" s="279"/>
      <c r="Q10" s="279"/>
      <c r="R10" s="279"/>
      <c r="S10" s="279"/>
      <c r="T10" s="83"/>
    </row>
    <row r="11" spans="1:20" ht="21.75" customHeight="1">
      <c r="A11" s="701"/>
      <c r="B11" s="223" t="str">
        <f>Custos!B38</f>
        <v>Mobilização e desmobilização de equipe de topografia</v>
      </c>
      <c r="C11" s="223"/>
      <c r="D11" s="458">
        <v>0</v>
      </c>
      <c r="E11" s="463">
        <f>ROUND((5/30),1)</f>
        <v>0.2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76">
        <v>0</v>
      </c>
      <c r="L11" s="224">
        <f t="shared" ref="L11:L17" si="0">SUM(D11:K11)</f>
        <v>0.2</v>
      </c>
      <c r="M11" s="224" t="str">
        <f>Custos!G38</f>
        <v>dez/2022</v>
      </c>
      <c r="N11" s="42"/>
      <c r="O11" s="280"/>
      <c r="P11" s="280"/>
      <c r="Q11" s="280"/>
      <c r="R11" s="280"/>
      <c r="S11" s="280"/>
      <c r="T11" s="83"/>
    </row>
    <row r="12" spans="1:20" ht="18" customHeight="1">
      <c r="A12" s="701"/>
      <c r="B12" s="457" t="str">
        <f>Custos!B39</f>
        <v>Equipe de topografia de campo</v>
      </c>
      <c r="C12" s="223"/>
      <c r="D12" s="458">
        <v>0</v>
      </c>
      <c r="E12" s="463">
        <f>ROUND((5/30),1)</f>
        <v>0.2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76">
        <v>0</v>
      </c>
      <c r="L12" s="224">
        <f t="shared" si="0"/>
        <v>0.2</v>
      </c>
      <c r="M12" s="224" t="str">
        <f>Custos!G39</f>
        <v>dez/2022</v>
      </c>
      <c r="N12" s="42"/>
      <c r="O12" s="280"/>
      <c r="P12" s="280"/>
      <c r="Q12" s="280"/>
      <c r="R12" s="280"/>
      <c r="S12" s="280"/>
      <c r="T12" s="83"/>
    </row>
    <row r="13" spans="1:20" ht="20.25" customHeight="1">
      <c r="A13" s="705" t="s">
        <v>222</v>
      </c>
      <c r="B13" s="223" t="str">
        <f>Custos!B42</f>
        <v>CADASTRO TÉCNICO</v>
      </c>
      <c r="C13" s="223"/>
      <c r="D13" s="194">
        <v>0</v>
      </c>
      <c r="E13" s="224">
        <v>0</v>
      </c>
      <c r="F13" s="463">
        <f>ROUND((5/30),1)</f>
        <v>0.2</v>
      </c>
      <c r="G13" s="224">
        <v>0</v>
      </c>
      <c r="H13" s="224">
        <v>0</v>
      </c>
      <c r="I13" s="224">
        <v>0</v>
      </c>
      <c r="J13" s="224">
        <v>0</v>
      </c>
      <c r="K13" s="276">
        <v>0</v>
      </c>
      <c r="L13" s="224">
        <f t="shared" si="0"/>
        <v>0.2</v>
      </c>
      <c r="M13" s="456">
        <f>Custos!G42</f>
        <v>0</v>
      </c>
      <c r="N13" s="42"/>
      <c r="O13" s="280"/>
      <c r="P13" s="280"/>
      <c r="Q13" s="280"/>
      <c r="R13" s="280"/>
      <c r="S13" s="280"/>
      <c r="T13" s="83"/>
    </row>
    <row r="14" spans="1:20" ht="20.25" customHeight="1">
      <c r="A14" s="706"/>
      <c r="B14" s="223" t="str">
        <f>Custos!B43</f>
        <v>Equipe de topografia de campo</v>
      </c>
      <c r="C14" s="223"/>
      <c r="D14" s="194">
        <v>0</v>
      </c>
      <c r="E14" s="224">
        <v>0</v>
      </c>
      <c r="F14" s="463">
        <f>ROUND((5/30),1)</f>
        <v>0.2</v>
      </c>
      <c r="G14" s="224">
        <v>0</v>
      </c>
      <c r="H14" s="224">
        <v>0</v>
      </c>
      <c r="I14" s="224">
        <v>0</v>
      </c>
      <c r="J14" s="224">
        <v>0</v>
      </c>
      <c r="K14" s="276">
        <v>0</v>
      </c>
      <c r="L14" s="224">
        <f t="shared" si="0"/>
        <v>0.2</v>
      </c>
      <c r="M14" s="456" t="str">
        <f>Custos!G43</f>
        <v>dez/2022</v>
      </c>
      <c r="N14" s="42"/>
      <c r="O14" s="280"/>
      <c r="P14" s="280"/>
      <c r="Q14" s="280"/>
      <c r="R14" s="280"/>
      <c r="S14" s="280"/>
      <c r="T14" s="83"/>
    </row>
    <row r="15" spans="1:20" ht="20.25" customHeight="1">
      <c r="A15" s="701" t="s">
        <v>467</v>
      </c>
      <c r="B15" s="223" t="str">
        <f>Custos!B31</f>
        <v xml:space="preserve">SERVIÇO DE SONDAGEM </v>
      </c>
      <c r="C15" s="223"/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1</v>
      </c>
      <c r="J15" s="224">
        <v>0</v>
      </c>
      <c r="K15" s="276">
        <v>0</v>
      </c>
      <c r="L15" s="224">
        <f t="shared" si="0"/>
        <v>1</v>
      </c>
      <c r="M15" s="224">
        <f>Custos!G31</f>
        <v>0</v>
      </c>
      <c r="N15" s="42"/>
      <c r="P15" s="319"/>
      <c r="Q15" s="319"/>
      <c r="R15" s="319"/>
      <c r="S15" s="319"/>
      <c r="T15" s="286"/>
    </row>
    <row r="16" spans="1:20" ht="20.25" customHeight="1">
      <c r="A16" s="701"/>
      <c r="B16" s="223" t="str">
        <f>Custos!B32</f>
        <v>Sondagem a percussao - mobilizacao e desmobilizacao</v>
      </c>
      <c r="C16" s="223"/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76">
        <v>0</v>
      </c>
      <c r="L16" s="224">
        <f t="shared" si="0"/>
        <v>0</v>
      </c>
      <c r="M16" s="224" t="str">
        <f>Custos!G32</f>
        <v>dez/2022</v>
      </c>
      <c r="N16" s="42"/>
      <c r="O16" s="318"/>
      <c r="P16" s="319"/>
      <c r="Q16" s="319"/>
      <c r="R16" s="319"/>
      <c r="S16" s="319"/>
      <c r="T16" s="286"/>
    </row>
    <row r="17" spans="1:20" ht="20.25" customHeight="1">
      <c r="A17" s="701"/>
      <c r="B17" s="223" t="str">
        <f>Custos!B33</f>
        <v>Sondagem a percussao - adicional de mobilizacao e desmobilizacao</v>
      </c>
      <c r="C17" s="223"/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f>ROUND(((Município!C25/1)+4),0)</f>
        <v>6</v>
      </c>
      <c r="J17" s="224">
        <v>0</v>
      </c>
      <c r="K17" s="276">
        <v>0</v>
      </c>
      <c r="L17" s="224">
        <f t="shared" si="0"/>
        <v>6</v>
      </c>
      <c r="M17" s="224" t="str">
        <f>Custos!G33</f>
        <v>dez/2022</v>
      </c>
      <c r="N17" s="42"/>
      <c r="O17" s="318" t="s">
        <v>468</v>
      </c>
      <c r="P17" s="319"/>
      <c r="Q17" s="319"/>
      <c r="R17" s="319"/>
      <c r="S17" s="319"/>
      <c r="T17" s="286"/>
    </row>
    <row r="18" spans="1:20" ht="20.25" customHeight="1">
      <c r="A18" s="701"/>
      <c r="B18" s="223" t="str">
        <f>Custos!B34</f>
        <v>Sondagem a percussao - instalacao por furo</v>
      </c>
      <c r="C18" s="223"/>
      <c r="D18" s="224">
        <v>0</v>
      </c>
      <c r="E18" s="224">
        <v>0</v>
      </c>
      <c r="F18" s="224">
        <v>0</v>
      </c>
      <c r="G18" s="224">
        <v>0</v>
      </c>
      <c r="H18" s="273">
        <v>0</v>
      </c>
      <c r="I18" s="224">
        <f>ROUND(((Município!C25/1))*30,0)</f>
        <v>75</v>
      </c>
      <c r="J18" s="224">
        <v>0</v>
      </c>
      <c r="K18" s="276">
        <v>0</v>
      </c>
      <c r="L18" s="273">
        <f>SUM(D18:K18)</f>
        <v>75</v>
      </c>
      <c r="M18" s="224" t="str">
        <f>Custos!G34</f>
        <v>dez/2022</v>
      </c>
      <c r="N18" s="42"/>
      <c r="O18" s="320" t="s">
        <v>457</v>
      </c>
      <c r="P18" s="320" t="s">
        <v>458</v>
      </c>
      <c r="Q18" s="320"/>
      <c r="R18" s="320" t="s">
        <v>459</v>
      </c>
      <c r="S18" s="320" t="s">
        <v>460</v>
      </c>
      <c r="T18" s="287"/>
    </row>
    <row r="19" spans="1:20" ht="20.25" customHeight="1">
      <c r="A19" s="702" t="s">
        <v>469</v>
      </c>
      <c r="B19" s="223" t="str">
        <f>Custos!B48</f>
        <v>OUTRAS DESPESAS</v>
      </c>
      <c r="C19" s="223"/>
      <c r="D19" s="224">
        <v>0</v>
      </c>
      <c r="E19" s="224">
        <v>0</v>
      </c>
      <c r="F19" s="224">
        <v>0</v>
      </c>
      <c r="G19" s="224">
        <f t="shared" ref="G19:H21" si="1">$L19*O19</f>
        <v>0.25</v>
      </c>
      <c r="H19" s="224">
        <f t="shared" si="1"/>
        <v>0.25</v>
      </c>
      <c r="I19" s="224">
        <v>0</v>
      </c>
      <c r="J19" s="224">
        <f>$L19*S19</f>
        <v>0.25</v>
      </c>
      <c r="K19" s="224">
        <f t="shared" ref="K19:K21" si="2">$L19*S19</f>
        <v>0.25</v>
      </c>
      <c r="L19" s="224">
        <v>1</v>
      </c>
      <c r="M19" s="224" t="s">
        <v>220</v>
      </c>
      <c r="N19" s="42"/>
      <c r="O19" s="321">
        <v>0.25</v>
      </c>
      <c r="P19" s="321">
        <v>0.25</v>
      </c>
      <c r="Q19" s="321"/>
      <c r="R19" s="321">
        <v>0.25</v>
      </c>
      <c r="S19" s="321">
        <v>0.25</v>
      </c>
      <c r="T19" s="287"/>
    </row>
    <row r="20" spans="1:20" ht="20.25" customHeight="1">
      <c r="A20" s="702"/>
      <c r="B20" s="223" t="s">
        <v>227</v>
      </c>
      <c r="C20" s="223"/>
      <c r="D20" s="224">
        <v>0</v>
      </c>
      <c r="E20" s="224">
        <v>0</v>
      </c>
      <c r="F20" s="224">
        <v>0</v>
      </c>
      <c r="G20" s="224">
        <f t="shared" si="1"/>
        <v>3</v>
      </c>
      <c r="H20" s="224">
        <f t="shared" si="1"/>
        <v>3</v>
      </c>
      <c r="I20" s="224">
        <v>0</v>
      </c>
      <c r="J20" s="224">
        <f>$L20*R20</f>
        <v>1</v>
      </c>
      <c r="K20" s="224">
        <f t="shared" si="2"/>
        <v>3</v>
      </c>
      <c r="L20" s="224">
        <v>10</v>
      </c>
      <c r="M20" s="224" t="s">
        <v>211</v>
      </c>
      <c r="N20" s="42"/>
      <c r="O20" s="321">
        <v>0.3</v>
      </c>
      <c r="P20" s="321">
        <v>0.3</v>
      </c>
      <c r="Q20" s="321"/>
      <c r="R20" s="321">
        <v>0.1</v>
      </c>
      <c r="S20" s="321">
        <v>0.3</v>
      </c>
      <c r="T20" s="286"/>
    </row>
    <row r="21" spans="1:20" ht="20.25" customHeight="1">
      <c r="A21" s="702"/>
      <c r="B21" s="223" t="s">
        <v>229</v>
      </c>
      <c r="C21" s="223"/>
      <c r="D21" s="224">
        <v>0</v>
      </c>
      <c r="E21" s="224">
        <v>0</v>
      </c>
      <c r="F21" s="224">
        <v>0</v>
      </c>
      <c r="G21" s="224">
        <f t="shared" si="1"/>
        <v>3</v>
      </c>
      <c r="H21" s="224">
        <f t="shared" si="1"/>
        <v>3</v>
      </c>
      <c r="I21" s="224">
        <v>0</v>
      </c>
      <c r="J21" s="224">
        <f>$L21*R21</f>
        <v>1</v>
      </c>
      <c r="K21" s="224">
        <f t="shared" si="2"/>
        <v>3</v>
      </c>
      <c r="L21" s="224">
        <v>10</v>
      </c>
      <c r="M21" s="224" t="s">
        <v>211</v>
      </c>
      <c r="N21" s="42"/>
      <c r="O21" s="321">
        <v>0.3</v>
      </c>
      <c r="P21" s="321">
        <v>0.3</v>
      </c>
      <c r="Q21" s="321"/>
      <c r="R21" s="321">
        <v>0.1</v>
      </c>
      <c r="S21" s="321">
        <v>0.3</v>
      </c>
      <c r="T21" s="286"/>
    </row>
    <row r="22" spans="1:20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20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20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</sheetData>
  <mergeCells count="9">
    <mergeCell ref="A10:A12"/>
    <mergeCell ref="A19:A21"/>
    <mergeCell ref="A1:M2"/>
    <mergeCell ref="L8:L9"/>
    <mergeCell ref="A9:B9"/>
    <mergeCell ref="M8:M9"/>
    <mergeCell ref="A15:A18"/>
    <mergeCell ref="A8:B8"/>
    <mergeCell ref="A13:A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57F7-0B90-462D-9CAF-8EA667C5D411}">
  <sheetPr>
    <tabColor theme="8" tint="-0.249977111117893"/>
    <pageSetUpPr fitToPage="1"/>
  </sheetPr>
  <dimension ref="A1:L63"/>
  <sheetViews>
    <sheetView showGridLines="0" view="pageBreakPreview" zoomScaleNormal="100" zoomScaleSheetLayoutView="10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470</v>
      </c>
      <c r="C2" s="82" t="str">
        <f>'Horas trabalhadas'!C9</f>
        <v>Plano de Trabalho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8229.23</v>
      </c>
      <c r="J7" s="428">
        <f>I7/$I$50</f>
        <v>0.9054721824581633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8229.23</v>
      </c>
      <c r="J9" s="444">
        <f>SUM(J10:J14)</f>
        <v>0.90547218245816352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234">
        <f>'Horas trabalhadas'!C10</f>
        <v>10</v>
      </c>
      <c r="H10" s="228">
        <f>E10*G10</f>
        <v>1012.5</v>
      </c>
      <c r="I10" s="228">
        <f>ROUND(H10*K!$G$22,2)</f>
        <v>2502.58</v>
      </c>
      <c r="J10" s="243">
        <f>I10/$I$50</f>
        <v>0.27536192017675415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234">
        <f>'Horas trabalhadas'!C11</f>
        <v>10</v>
      </c>
      <c r="H11" s="228">
        <f>E11*G11</f>
        <v>682.4</v>
      </c>
      <c r="I11" s="228">
        <f>ROUND(H11*K!$G$22,2)</f>
        <v>1686.68</v>
      </c>
      <c r="J11" s="243">
        <f>I11/$I$50</f>
        <v>0.18558745115989406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234">
        <f>'Horas trabalhadas'!C12</f>
        <v>20</v>
      </c>
      <c r="H12" s="228">
        <f>E12*G12</f>
        <v>1317</v>
      </c>
      <c r="I12" s="228">
        <f>ROUND(H12*K!$G$22,2)</f>
        <v>3255.21</v>
      </c>
      <c r="J12" s="243">
        <f>I12/$I$50</f>
        <v>0.358174714166409</v>
      </c>
    </row>
    <row r="13" spans="1:12" s="117" customFormat="1" ht="16.149999999999999" customHeight="1">
      <c r="A13" s="234" t="s">
        <v>191</v>
      </c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234">
        <f>'Horas trabalhadas'!C13</f>
        <v>20</v>
      </c>
      <c r="H13" s="228">
        <f>E13*G13</f>
        <v>237.2</v>
      </c>
      <c r="I13" s="228">
        <f>ROUND(H13*K!$G$22,2)</f>
        <v>586.28</v>
      </c>
      <c r="J13" s="243">
        <f>I13/$I$50</f>
        <v>6.4509101232019528E-2</v>
      </c>
    </row>
    <row r="14" spans="1:12" s="739" customFormat="1" ht="16.149999999999999" customHeight="1">
      <c r="A14" s="732" t="s">
        <v>202</v>
      </c>
      <c r="B14" s="733" t="str">
        <f>Custos!E17</f>
        <v>P8026</v>
      </c>
      <c r="C14" s="734" t="str">
        <f>Custos!D16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32">
        <f>'Horas trabalhadas'!C14</f>
        <v>10</v>
      </c>
      <c r="H14" s="737">
        <f>E14*G14</f>
        <v>80.3</v>
      </c>
      <c r="I14" s="737">
        <f>ROUND(H14*K!$G$22,2)</f>
        <v>198.48</v>
      </c>
      <c r="J14" s="738">
        <f>I14/$I$50</f>
        <v>2.1838995723086639E-2</v>
      </c>
    </row>
    <row r="15" spans="1:12" ht="6" customHeight="1">
      <c r="A15" s="152"/>
      <c r="B15" s="152"/>
      <c r="C15" s="152"/>
      <c r="D15" s="153"/>
      <c r="E15" s="154"/>
      <c r="F15" s="177"/>
      <c r="G15" s="156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425"/>
      <c r="H16" s="425"/>
      <c r="I16" s="427">
        <f>I18</f>
        <v>0</v>
      </c>
      <c r="J16" s="428">
        <f>I16/$I$50</f>
        <v>0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158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430"/>
      <c r="H18" s="431"/>
      <c r="I18" s="432">
        <f>SUM(I19:I24)</f>
        <v>0</v>
      </c>
      <c r="J18" s="445">
        <f>SUM(J19:J24)</f>
        <v>0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229">
        <f>'Horas trabalhadas'!C15</f>
        <v>0</v>
      </c>
      <c r="H19" s="228">
        <f>E19*G19</f>
        <v>0</v>
      </c>
      <c r="I19" s="228">
        <f>ROUND(H19*K!$G$23,2)</f>
        <v>0</v>
      </c>
      <c r="J19" s="242">
        <f t="shared" ref="J19:J24" si="0">I19/$I$50</f>
        <v>0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229">
        <f>'Horas trabalhadas'!C16</f>
        <v>0</v>
      </c>
      <c r="H20" s="228">
        <f t="shared" ref="H20:H23" si="1">E20*G20</f>
        <v>0</v>
      </c>
      <c r="I20" s="228">
        <f>ROUND(H20*K!$G$23,2)</f>
        <v>0</v>
      </c>
      <c r="J20" s="242">
        <f t="shared" si="0"/>
        <v>0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229">
        <f>'Horas trabalhadas'!C17</f>
        <v>0</v>
      </c>
      <c r="H21" s="228">
        <f t="shared" si="1"/>
        <v>0</v>
      </c>
      <c r="I21" s="228">
        <f>ROUND(H21*K!$G$23,2)</f>
        <v>0</v>
      </c>
      <c r="J21" s="242">
        <f t="shared" si="0"/>
        <v>0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229">
        <f>'Horas trabalhadas'!C18</f>
        <v>0</v>
      </c>
      <c r="H22" s="228">
        <f t="shared" si="1"/>
        <v>0</v>
      </c>
      <c r="I22" s="228">
        <f>ROUND(H22*K!$G$23,2)</f>
        <v>0</v>
      </c>
      <c r="J22" s="242">
        <f t="shared" si="0"/>
        <v>0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229">
        <f>'Horas trabalhadas'!C19</f>
        <v>0</v>
      </c>
      <c r="H23" s="228">
        <f t="shared" si="1"/>
        <v>0</v>
      </c>
      <c r="I23" s="228">
        <f>ROUND(H23*K!$G$23,2)</f>
        <v>0</v>
      </c>
      <c r="J23" s="242">
        <f t="shared" si="0"/>
        <v>0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229">
        <f>'Horas trabalhadas'!C20</f>
        <v>0</v>
      </c>
      <c r="H24" s="228">
        <f t="shared" ref="H24" si="2">E24*G24</f>
        <v>0</v>
      </c>
      <c r="I24" s="228">
        <f>ROUND(H24*K!$G$23,2)</f>
        <v>0</v>
      </c>
      <c r="J24" s="242">
        <f t="shared" si="0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0</v>
      </c>
      <c r="J26" s="428">
        <f>I26/$I$50</f>
        <v>0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v>0</v>
      </c>
      <c r="H29" s="228">
        <f>G29*E29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v>0</v>
      </c>
      <c r="H30" s="228">
        <f t="shared" ref="H30:H31" si="3">G30*E30</f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v>0</v>
      </c>
      <c r="H31" s="228">
        <f t="shared" si="3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Serviços!D14</f>
        <v>0</v>
      </c>
      <c r="H34" s="228">
        <f>G34*E34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Serviços!D15</f>
        <v>0</v>
      </c>
      <c r="H35" s="228">
        <f>G35*E35</f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9">
        <f>Serviços!D18</f>
        <v>0</v>
      </c>
      <c r="H36" s="228">
        <f>G36*E36</f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9">
        <f>Serviços!D19</f>
        <v>0</v>
      </c>
      <c r="H37" s="228">
        <f>G37*E37</f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156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v>0</v>
      </c>
      <c r="H40" s="228">
        <f>G40*E40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v>0</v>
      </c>
      <c r="H41" s="228">
        <f>G41*E41</f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158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9.4527817541836603E-2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9.4527817541836617E-2</v>
      </c>
    </row>
    <row r="46" spans="1:10" s="117" customFormat="1" ht="16.149999999999999" customHeight="1">
      <c r="A46" s="234" t="s">
        <v>185</v>
      </c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4">G46*E46</f>
        <v>153.9163096481706</v>
      </c>
      <c r="I46" s="228">
        <f>ROUND(H46*K!$G$25,2)</f>
        <v>191.1</v>
      </c>
      <c r="J46" s="243">
        <f>I46/$I$50</f>
        <v>2.1026965350069815E-2</v>
      </c>
    </row>
    <row r="47" spans="1:10" s="117" customFormat="1" ht="16.149999999999999" customHeight="1">
      <c r="A47" s="234" t="s">
        <v>188</v>
      </c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4"/>
        <v>98.04</v>
      </c>
      <c r="I47" s="228">
        <f>ROUND(H47*K!$G$25,2)</f>
        <v>121.72</v>
      </c>
      <c r="J47" s="243">
        <f>I47/$I$50</f>
        <v>1.3392999593984814E-2</v>
      </c>
    </row>
    <row r="48" spans="1:10" s="117" customFormat="1" ht="16.149999999999999" customHeight="1">
      <c r="A48" s="234" t="s">
        <v>191</v>
      </c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4"/>
        <v>440</v>
      </c>
      <c r="I48" s="228">
        <f>ROUND(H48*K!$G$25,2)</f>
        <v>546.28</v>
      </c>
      <c r="J48" s="243">
        <f>I48/$I$50</f>
        <v>6.0107852597781987E-2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9088.33</v>
      </c>
      <c r="J50" s="441">
        <f>J7+J16+J26+J43</f>
        <v>0.99999999999999989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 ht="13.15" customHeight="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J59" s="354"/>
    </row>
    <row r="60" spans="1:11">
      <c r="A60" s="609"/>
      <c r="B60" s="609"/>
      <c r="C60" s="609"/>
      <c r="D60" s="609"/>
      <c r="F60" s="125"/>
      <c r="G60" s="125"/>
      <c r="H60" s="125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  <c r="K61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6"/>
    </row>
    <row r="63" spans="1:11" ht="15" customHeight="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  <c r="J63" s="447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5FD9-A80E-4A83-BECC-C1810646830A}">
  <sheetPr>
    <tabColor theme="8" tint="-0.249977111117893"/>
    <pageSetUpPr fitToPage="1"/>
  </sheetPr>
  <dimension ref="A1:L63"/>
  <sheetViews>
    <sheetView showGridLines="0" view="pageBreakPreview" zoomScaleNormal="100" zoomScaleSheetLayoutView="10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489</v>
      </c>
      <c r="C2" s="82" t="str">
        <f>'Horas trabalhadas'!D9</f>
        <v>Estudos Topográficos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847.68999999999994</v>
      </c>
      <c r="J7" s="428">
        <f>I7/$I$50</f>
        <v>3.3262976814525232E-2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847.68999999999994</v>
      </c>
      <c r="J9" s="444">
        <f>SUM(J10:J14)</f>
        <v>3.3262976814525239E-2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234">
        <f>'Horas trabalhadas'!D10</f>
        <v>0</v>
      </c>
      <c r="H10" s="228">
        <f>E10*G10</f>
        <v>0</v>
      </c>
      <c r="I10" s="228">
        <f>ROUND(H10*K!$G$22,2)</f>
        <v>0</v>
      </c>
      <c r="J10" s="243">
        <f>I10/$I$50</f>
        <v>0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234">
        <f>'Horas trabalhadas'!D11</f>
        <v>0</v>
      </c>
      <c r="H11" s="228">
        <f>E11*G11</f>
        <v>0</v>
      </c>
      <c r="I11" s="228">
        <f>ROUND(H11*K!$G$22,2)</f>
        <v>0</v>
      </c>
      <c r="J11" s="243">
        <f>I11/$I$50</f>
        <v>0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234">
        <f>'Horas trabalhadas'!D12</f>
        <v>4</v>
      </c>
      <c r="H12" s="228">
        <f>E12*G12</f>
        <v>263.39999999999998</v>
      </c>
      <c r="I12" s="228">
        <f>ROUND(H12*K!$G$22,2)</f>
        <v>651.04</v>
      </c>
      <c r="J12" s="243">
        <f>I12/$I$50</f>
        <v>2.554651868646381E-2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234">
        <f>'Horas trabalhadas'!D13</f>
        <v>4</v>
      </c>
      <c r="H13" s="228">
        <f t="shared" ref="H13:H14" si="0">E13*G13</f>
        <v>47.44</v>
      </c>
      <c r="I13" s="228">
        <f>ROUND(H13*K!$G$22,2)</f>
        <v>117.26</v>
      </c>
      <c r="J13" s="243">
        <f t="shared" ref="J13:J14" si="1">I13/$I$50</f>
        <v>4.6012300030332191E-3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32">
        <f>'Horas trabalhadas'!D14</f>
        <v>4</v>
      </c>
      <c r="H14" s="737">
        <f t="shared" si="0"/>
        <v>32.119999999999997</v>
      </c>
      <c r="I14" s="737">
        <f>ROUND(H14*K!$G$22,2)</f>
        <v>79.39</v>
      </c>
      <c r="J14" s="738">
        <f t="shared" si="1"/>
        <v>3.1152281250282042E-3</v>
      </c>
    </row>
    <row r="15" spans="1:12" ht="6" customHeight="1">
      <c r="A15" s="152"/>
      <c r="B15" s="152"/>
      <c r="C15" s="152"/>
      <c r="D15" s="153"/>
      <c r="E15" s="154"/>
      <c r="F15" s="177"/>
      <c r="G15" s="156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425"/>
      <c r="H16" s="425"/>
      <c r="I16" s="427">
        <f>I18</f>
        <v>0</v>
      </c>
      <c r="J16" s="428">
        <f>I16/$I$50</f>
        <v>0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158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430"/>
      <c r="H18" s="431"/>
      <c r="I18" s="432">
        <f>SUM(I19:I24)</f>
        <v>0</v>
      </c>
      <c r="J18" s="445">
        <f>SUM(J19:J24)</f>
        <v>0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229">
        <f>'Horas trabalhadas'!D15</f>
        <v>0</v>
      </c>
      <c r="H19" s="228">
        <f>E19*G19</f>
        <v>0</v>
      </c>
      <c r="I19" s="228">
        <f>ROUND(H19*K!$G$23,2)</f>
        <v>0</v>
      </c>
      <c r="J19" s="242">
        <f t="shared" ref="J19:J24" si="2">I19/$I$50</f>
        <v>0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229">
        <f>'Horas trabalhadas'!D16</f>
        <v>0</v>
      </c>
      <c r="H20" s="228">
        <f t="shared" ref="H20:H24" si="3">E20*G20</f>
        <v>0</v>
      </c>
      <c r="I20" s="228">
        <f>ROUND(H20*K!$G$23,2)</f>
        <v>0</v>
      </c>
      <c r="J20" s="242">
        <f t="shared" si="2"/>
        <v>0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229">
        <f>'Horas trabalhadas'!D17</f>
        <v>0</v>
      </c>
      <c r="H21" s="228">
        <f t="shared" si="3"/>
        <v>0</v>
      </c>
      <c r="I21" s="228">
        <f>ROUND(H21*K!$G$23,2)</f>
        <v>0</v>
      </c>
      <c r="J21" s="242">
        <f t="shared" si="2"/>
        <v>0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229">
        <f>'Horas trabalhadas'!D18</f>
        <v>0</v>
      </c>
      <c r="H22" s="228">
        <f t="shared" si="3"/>
        <v>0</v>
      </c>
      <c r="I22" s="228">
        <f>ROUND(H22*K!$G$23,2)</f>
        <v>0</v>
      </c>
      <c r="J22" s="242">
        <f t="shared" si="2"/>
        <v>0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229">
        <f>'Horas trabalhadas'!D19</f>
        <v>0</v>
      </c>
      <c r="H23" s="228">
        <f t="shared" si="3"/>
        <v>0</v>
      </c>
      <c r="I23" s="228">
        <f>ROUND(H23*K!$G$23,2)</f>
        <v>0</v>
      </c>
      <c r="J23" s="242">
        <f t="shared" si="2"/>
        <v>0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229">
        <f>'Horas trabalhadas'!D20</f>
        <v>0</v>
      </c>
      <c r="H24" s="228">
        <f t="shared" si="3"/>
        <v>0</v>
      </c>
      <c r="I24" s="228">
        <f>ROUND(H24*K!$G$23,2)</f>
        <v>0</v>
      </c>
      <c r="J24" s="242">
        <f t="shared" si="2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23777.699999999997</v>
      </c>
      <c r="J26" s="428">
        <f>I26/$I$50</f>
        <v>0.93302632306944355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23777.699999999997</v>
      </c>
      <c r="J28" s="444">
        <f>SUM(J29:J31)</f>
        <v>0.93302632306944366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Serviços!E10</f>
        <v>566</v>
      </c>
      <c r="H29" s="228">
        <f>G29*E29</f>
        <v>2360.1936932723365</v>
      </c>
      <c r="I29" s="228">
        <f>ROUND(H29*K!$G$24,2)</f>
        <v>3436.95</v>
      </c>
      <c r="J29" s="243">
        <f>I29/$I$50</f>
        <v>0.13486438221836108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96">
        <f>Serviços!E11</f>
        <v>0.2</v>
      </c>
      <c r="H30" s="228">
        <f>ROUND(G30*E30,2)</f>
        <v>9164.4</v>
      </c>
      <c r="I30" s="228">
        <f>ROUND(H30*K!$G$24,2)</f>
        <v>13345.35</v>
      </c>
      <c r="J30" s="243">
        <f>I30/$I$50</f>
        <v>0.52366557070594721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96">
        <f>Serviços!E12</f>
        <v>0.2</v>
      </c>
      <c r="H31" s="228">
        <f t="shared" ref="H31" si="4">G31*E31</f>
        <v>4803.8179679621153</v>
      </c>
      <c r="I31" s="228">
        <f>ROUND(H31*K!$G$24,2)</f>
        <v>6995.4</v>
      </c>
      <c r="J31" s="243">
        <f>I31/$I$50</f>
        <v>0.27449637014513539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Serviços!D14</f>
        <v>0</v>
      </c>
      <c r="H34" s="228">
        <f>G34*E34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Serviços!D15</f>
        <v>0</v>
      </c>
      <c r="H35" s="228">
        <f>G35*E35</f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9">
        <f>Serviços!D18</f>
        <v>0</v>
      </c>
      <c r="H36" s="228">
        <f>G36*E36</f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9">
        <f>Serviços!D19</f>
        <v>0</v>
      </c>
      <c r="H37" s="228">
        <f>G37*E37</f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156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v>0</v>
      </c>
      <c r="H40" s="228">
        <f>G40*E40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v>0</v>
      </c>
      <c r="H41" s="228">
        <f>G41*E41</f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158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3.3710700116031361E-2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3.3710700116031361E-2</v>
      </c>
    </row>
    <row r="46" spans="1:10" s="117" customFormat="1" ht="16.149999999999999" customHeight="1">
      <c r="A46" s="234" t="s">
        <v>185</v>
      </c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5">G46*E46</f>
        <v>153.9163096481706</v>
      </c>
      <c r="I46" s="228">
        <f>ROUND(H46*K!$G$25,2)</f>
        <v>191.1</v>
      </c>
      <c r="J46" s="243">
        <f>I46/$I$50</f>
        <v>7.4986786080474847E-3</v>
      </c>
    </row>
    <row r="47" spans="1:10" s="117" customFormat="1" ht="16.149999999999999" customHeight="1">
      <c r="A47" s="234" t="s">
        <v>188</v>
      </c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5"/>
        <v>98.04</v>
      </c>
      <c r="I47" s="228">
        <f>ROUND(H47*K!$G$25,2)</f>
        <v>121.72</v>
      </c>
      <c r="J47" s="243">
        <f>I47/$I$50</f>
        <v>4.7762384101074822E-3</v>
      </c>
    </row>
    <row r="48" spans="1:10" s="117" customFormat="1" ht="16.149999999999999" customHeight="1">
      <c r="A48" s="234" t="s">
        <v>191</v>
      </c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5"/>
        <v>440</v>
      </c>
      <c r="I48" s="228">
        <f>ROUND(H48*K!$G$25,2)</f>
        <v>546.28</v>
      </c>
      <c r="J48" s="243">
        <f>I48/$I$50</f>
        <v>2.1435783097876398E-2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25484.489999999994</v>
      </c>
      <c r="J50" s="441">
        <f>J7+J16+J26+J43</f>
        <v>1.0000000000000002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ignoredErrors>
    <ignoredError sqref="H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619"/>
      <c r="B1" s="619"/>
      <c r="C1" s="619"/>
      <c r="D1" s="619"/>
      <c r="E1" s="619"/>
      <c r="F1" s="619"/>
      <c r="G1" s="619"/>
    </row>
    <row r="2" spans="1:7">
      <c r="A2" s="619"/>
      <c r="B2" s="619"/>
      <c r="C2" s="619"/>
      <c r="D2" s="619"/>
      <c r="E2" s="619"/>
      <c r="F2" s="619"/>
      <c r="G2" s="619"/>
    </row>
    <row r="3" spans="1:7">
      <c r="A3" s="619"/>
      <c r="B3" s="619"/>
      <c r="C3" s="619"/>
      <c r="D3" s="619"/>
      <c r="E3" s="619"/>
      <c r="F3" s="619"/>
      <c r="G3" s="619"/>
    </row>
    <row r="4" spans="1:7">
      <c r="A4" s="619"/>
      <c r="B4" s="619"/>
      <c r="C4" s="619"/>
      <c r="D4" s="619"/>
      <c r="E4" s="619"/>
      <c r="F4" s="619"/>
      <c r="G4" s="619"/>
    </row>
    <row r="5" spans="1:7">
      <c r="A5" s="619"/>
      <c r="B5" s="619"/>
      <c r="C5" s="619"/>
      <c r="D5" s="619"/>
      <c r="E5" s="619"/>
      <c r="F5" s="619"/>
      <c r="G5" s="619"/>
    </row>
    <row r="6" spans="1:7">
      <c r="A6" s="619"/>
      <c r="B6" s="619"/>
      <c r="C6" s="619"/>
      <c r="D6" s="619"/>
      <c r="E6" s="619"/>
      <c r="F6" s="619"/>
      <c r="G6" s="619"/>
    </row>
    <row r="7" spans="1:7">
      <c r="A7" s="619"/>
      <c r="B7" s="619"/>
      <c r="C7" s="619"/>
      <c r="D7" s="619"/>
      <c r="E7" s="619"/>
      <c r="F7" s="619"/>
      <c r="G7" s="619"/>
    </row>
    <row r="8" spans="1:7">
      <c r="A8" s="619"/>
      <c r="B8" s="619"/>
      <c r="C8" s="619"/>
      <c r="D8" s="619"/>
      <c r="E8" s="619"/>
      <c r="F8" s="619"/>
      <c r="G8" s="619"/>
    </row>
    <row r="9" spans="1:7">
      <c r="A9" s="619"/>
      <c r="B9" s="619"/>
      <c r="C9" s="619"/>
      <c r="D9" s="619"/>
      <c r="E9" s="619"/>
      <c r="F9" s="619"/>
      <c r="G9" s="619"/>
    </row>
    <row r="10" spans="1:7">
      <c r="A10" s="620" t="s">
        <v>3</v>
      </c>
      <c r="B10" s="620"/>
      <c r="C10" s="620"/>
      <c r="D10" s="620"/>
      <c r="E10" s="620"/>
      <c r="F10" s="620"/>
      <c r="G10" s="620"/>
    </row>
    <row r="11" spans="1:7">
      <c r="A11" s="620" t="s">
        <v>4</v>
      </c>
      <c r="B11" s="620"/>
      <c r="C11" s="620"/>
      <c r="D11" s="620"/>
      <c r="E11" s="620"/>
      <c r="F11" s="620"/>
      <c r="G11" s="620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620" t="s">
        <v>5</v>
      </c>
      <c r="C13" s="620"/>
      <c r="D13" s="620"/>
      <c r="E13" s="620"/>
      <c r="F13" s="620"/>
      <c r="G13" s="51" t="s">
        <v>6</v>
      </c>
    </row>
    <row r="14" spans="1:7" ht="21.75" customHeight="1" thickBot="1">
      <c r="A14" s="621" t="s">
        <v>7</v>
      </c>
      <c r="B14" s="621"/>
      <c r="C14" s="621"/>
      <c r="D14" s="621"/>
      <c r="E14" s="621"/>
      <c r="F14" s="621"/>
      <c r="G14" s="621"/>
    </row>
    <row r="15" spans="1:7">
      <c r="A15" s="629" t="s">
        <v>8</v>
      </c>
      <c r="B15" s="629" t="s">
        <v>9</v>
      </c>
      <c r="C15" s="629" t="s">
        <v>10</v>
      </c>
      <c r="D15" s="629" t="s">
        <v>11</v>
      </c>
      <c r="E15" s="629" t="s">
        <v>12</v>
      </c>
      <c r="F15" s="36" t="s">
        <v>13</v>
      </c>
      <c r="G15" s="622" t="s">
        <v>14</v>
      </c>
    </row>
    <row r="16" spans="1:7" ht="13.5" thickBot="1">
      <c r="A16" s="630"/>
      <c r="B16" s="630"/>
      <c r="C16" s="630"/>
      <c r="D16" s="630"/>
      <c r="E16" s="630"/>
      <c r="F16" s="19" t="s">
        <v>15</v>
      </c>
      <c r="G16" s="623"/>
    </row>
    <row r="17" spans="1:16">
      <c r="A17" s="12">
        <v>0</v>
      </c>
      <c r="B17" s="628" t="s">
        <v>16</v>
      </c>
      <c r="C17" s="628"/>
      <c r="D17" s="628"/>
      <c r="E17" s="13"/>
      <c r="F17" s="13"/>
      <c r="G17" s="14" t="e">
        <f>SUM(G18:G20)</f>
        <v>#REF!</v>
      </c>
      <c r="I17" s="531" t="s">
        <v>17</v>
      </c>
      <c r="J17" s="531" t="s">
        <v>18</v>
      </c>
      <c r="K17" s="531" t="s">
        <v>19</v>
      </c>
    </row>
    <row r="18" spans="1:16" ht="24" customHeight="1">
      <c r="A18" s="5" t="s">
        <v>20</v>
      </c>
      <c r="B18" s="6" t="e">
        <f>IF(C18="","",VLOOKUP(C18,#REF!,2,FALSE))</f>
        <v>#REF!</v>
      </c>
      <c r="C18" s="7" t="s">
        <v>21</v>
      </c>
      <c r="D18" s="8" t="s">
        <v>22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23</v>
      </c>
      <c r="B19" s="6" t="e">
        <f>IF(C19="","",VLOOKUP(C19,#REF!,2,FALSE))</f>
        <v>#REF!</v>
      </c>
      <c r="C19" s="7" t="s">
        <v>24</v>
      </c>
      <c r="D19" s="8" t="s">
        <v>22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25</v>
      </c>
      <c r="B20" s="6" t="e">
        <f>IF(C20="","",VLOOKUP(C20,#REF!,2,FALSE))</f>
        <v>#REF!</v>
      </c>
      <c r="C20" s="7" t="s">
        <v>26</v>
      </c>
      <c r="D20" s="8" t="s">
        <v>22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624" t="s">
        <v>27</v>
      </c>
      <c r="C21" s="624"/>
      <c r="D21" s="624"/>
      <c r="E21" s="17"/>
      <c r="F21" s="17"/>
      <c r="G21" s="18" t="e">
        <f>SUM(G22:G29)</f>
        <v>#REF!</v>
      </c>
      <c r="H21" s="532"/>
      <c r="I21" s="531"/>
      <c r="J21" s="531"/>
      <c r="K21" s="531"/>
      <c r="L21" s="42">
        <v>1</v>
      </c>
      <c r="M21" s="533" t="s">
        <v>28</v>
      </c>
      <c r="N21" s="532"/>
      <c r="O21" s="532"/>
      <c r="P21" s="532"/>
    </row>
    <row r="22" spans="1:16" ht="12.75" customHeight="1">
      <c r="A22" s="5" t="s">
        <v>29</v>
      </c>
      <c r="B22" s="6" t="s">
        <v>30</v>
      </c>
      <c r="C22" s="7"/>
      <c r="D22" s="8" t="s">
        <v>22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532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534">
        <f>N22/160</f>
        <v>23.248374999999999</v>
      </c>
      <c r="P22" s="534">
        <f>O22+O22*1.14</f>
        <v>49.751522499999993</v>
      </c>
    </row>
    <row r="23" spans="1:16">
      <c r="A23" s="5" t="s">
        <v>31</v>
      </c>
      <c r="B23" s="6" t="s">
        <v>32</v>
      </c>
      <c r="C23" s="7"/>
      <c r="D23" s="8" t="s">
        <v>22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532"/>
      <c r="I23" s="28">
        <v>160</v>
      </c>
      <c r="J23" s="28">
        <v>1</v>
      </c>
      <c r="K23" s="28">
        <v>1</v>
      </c>
      <c r="N23" s="534">
        <v>2076</v>
      </c>
      <c r="O23" s="534">
        <f>N23/160</f>
        <v>12.975</v>
      </c>
      <c r="P23" s="534">
        <f>O23+O23*1.14</f>
        <v>27.766500000000001</v>
      </c>
    </row>
    <row r="24" spans="1:16">
      <c r="A24" s="5" t="s">
        <v>33</v>
      </c>
      <c r="B24" s="6" t="s">
        <v>34</v>
      </c>
      <c r="C24" s="7"/>
      <c r="D24" s="8" t="s">
        <v>22</v>
      </c>
      <c r="E24" s="9">
        <f t="shared" si="1"/>
        <v>0</v>
      </c>
      <c r="F24" s="10">
        <v>53.9</v>
      </c>
      <c r="G24" s="11">
        <f t="shared" si="0"/>
        <v>0</v>
      </c>
      <c r="H24" s="532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35</v>
      </c>
      <c r="B25" s="6" t="e">
        <f>IF(C25="","",VLOOKUP(C25,#REF!,2,FALSE))</f>
        <v>#REF!</v>
      </c>
      <c r="C25" s="7" t="s">
        <v>36</v>
      </c>
      <c r="D25" s="8" t="s">
        <v>22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532"/>
      <c r="I25" s="28">
        <v>80</v>
      </c>
      <c r="J25" s="28">
        <v>1</v>
      </c>
      <c r="K25" s="531">
        <v>1</v>
      </c>
    </row>
    <row r="26" spans="1:16">
      <c r="A26" s="5" t="s">
        <v>37</v>
      </c>
      <c r="B26" s="6" t="e">
        <f>IF(C26="","",VLOOKUP(C26,#REF!,2,FALSE))</f>
        <v>#REF!</v>
      </c>
      <c r="C26" s="7" t="s">
        <v>38</v>
      </c>
      <c r="D26" s="8" t="s">
        <v>22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532"/>
      <c r="I26" s="28">
        <v>160</v>
      </c>
      <c r="J26" s="28">
        <v>1</v>
      </c>
      <c r="K26" s="531">
        <v>1</v>
      </c>
    </row>
    <row r="27" spans="1:16">
      <c r="A27" s="5" t="s">
        <v>39</v>
      </c>
      <c r="B27" s="6" t="e">
        <f>IF(C27="","",VLOOKUP(C27,#REF!,2,FALSE))</f>
        <v>#REF!</v>
      </c>
      <c r="C27" s="7" t="s">
        <v>40</v>
      </c>
      <c r="D27" s="8" t="s">
        <v>22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532"/>
      <c r="I27" s="28">
        <v>160</v>
      </c>
      <c r="J27" s="28">
        <v>1</v>
      </c>
      <c r="K27" s="531">
        <v>0</v>
      </c>
    </row>
    <row r="28" spans="1:16">
      <c r="A28" s="5" t="s">
        <v>41</v>
      </c>
      <c r="B28" s="6" t="e">
        <f>IF(C28="","",VLOOKUP(C28,#REF!,2,FALSE))</f>
        <v>#REF!</v>
      </c>
      <c r="C28" s="7" t="s">
        <v>42</v>
      </c>
      <c r="D28" s="8" t="s">
        <v>22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532"/>
      <c r="I28" s="28">
        <v>160</v>
      </c>
      <c r="J28" s="28">
        <v>1</v>
      </c>
      <c r="K28" s="531">
        <v>0</v>
      </c>
    </row>
    <row r="29" spans="1:16">
      <c r="A29" s="5" t="s">
        <v>43</v>
      </c>
      <c r="B29" s="6" t="e">
        <f>IF(C29="","",VLOOKUP(C29,#REF!,2,FALSE))</f>
        <v>#REF!</v>
      </c>
      <c r="C29" s="7" t="s">
        <v>44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532"/>
      <c r="I29" s="28">
        <v>160</v>
      </c>
      <c r="J29" s="28">
        <v>1</v>
      </c>
      <c r="K29" s="531">
        <v>0</v>
      </c>
    </row>
    <row r="30" spans="1:16">
      <c r="A30" s="16">
        <v>2</v>
      </c>
      <c r="B30" s="624" t="s">
        <v>45</v>
      </c>
      <c r="C30" s="624"/>
      <c r="D30" s="624"/>
      <c r="E30" s="17"/>
      <c r="F30" s="17"/>
      <c r="G30" s="18" t="e">
        <f>SUM(G31:G39)</f>
        <v>#REF!</v>
      </c>
      <c r="H30" s="535"/>
      <c r="I30" s="531"/>
      <c r="J30" s="531"/>
      <c r="K30" s="531"/>
      <c r="L30" s="42">
        <v>1</v>
      </c>
      <c r="M30" s="533" t="s">
        <v>46</v>
      </c>
    </row>
    <row r="31" spans="1:16" ht="12" customHeight="1">
      <c r="A31" s="5" t="s">
        <v>47</v>
      </c>
      <c r="B31" s="6" t="s">
        <v>30</v>
      </c>
      <c r="C31" s="7"/>
      <c r="D31" s="8" t="s">
        <v>22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535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48</v>
      </c>
      <c r="B32" s="6" t="s">
        <v>32</v>
      </c>
      <c r="C32" s="7"/>
      <c r="D32" s="8" t="s">
        <v>22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535"/>
      <c r="I32" s="28">
        <v>40</v>
      </c>
      <c r="J32" s="28">
        <v>1</v>
      </c>
      <c r="K32" s="28">
        <v>1</v>
      </c>
    </row>
    <row r="33" spans="1:13">
      <c r="A33" s="5" t="s">
        <v>49</v>
      </c>
      <c r="B33" s="6" t="s">
        <v>34</v>
      </c>
      <c r="C33" s="7"/>
      <c r="D33" s="8" t="s">
        <v>22</v>
      </c>
      <c r="E33" s="9">
        <f t="shared" si="3"/>
        <v>40</v>
      </c>
      <c r="F33" s="10">
        <v>53.9</v>
      </c>
      <c r="G33" s="11">
        <f t="shared" si="2"/>
        <v>2156</v>
      </c>
      <c r="H33" s="535"/>
      <c r="I33" s="28">
        <v>40</v>
      </c>
      <c r="J33" s="28">
        <v>1</v>
      </c>
      <c r="K33" s="28">
        <v>1</v>
      </c>
    </row>
    <row r="34" spans="1:13" ht="12.75" customHeight="1">
      <c r="A34" s="5" t="s">
        <v>50</v>
      </c>
      <c r="B34" s="6" t="e">
        <f>IF(C34="","",VLOOKUP(C34,#REF!,2,FALSE))</f>
        <v>#REF!</v>
      </c>
      <c r="C34" s="7" t="s">
        <v>36</v>
      </c>
      <c r="D34" s="8" t="s">
        <v>22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535"/>
      <c r="I34" s="28">
        <v>40</v>
      </c>
      <c r="J34" s="28">
        <v>1</v>
      </c>
      <c r="K34" s="28">
        <v>1</v>
      </c>
    </row>
    <row r="35" spans="1:13">
      <c r="A35" s="5" t="s">
        <v>51</v>
      </c>
      <c r="B35" s="6" t="e">
        <f>IF(C35="","",VLOOKUP(C35,#REF!,2,FALSE))</f>
        <v>#REF!</v>
      </c>
      <c r="C35" s="7" t="s">
        <v>38</v>
      </c>
      <c r="D35" s="8" t="s">
        <v>22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535"/>
      <c r="I35" s="28">
        <v>80</v>
      </c>
      <c r="J35" s="28">
        <v>1</v>
      </c>
      <c r="K35" s="28">
        <v>1</v>
      </c>
    </row>
    <row r="36" spans="1:13">
      <c r="A36" s="5" t="s">
        <v>52</v>
      </c>
      <c r="B36" s="6" t="e">
        <f>IF(C36="","",VLOOKUP(C36,#REF!,2,FALSE))</f>
        <v>#REF!</v>
      </c>
      <c r="C36" s="7" t="s">
        <v>40</v>
      </c>
      <c r="D36" s="8" t="s">
        <v>22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535"/>
      <c r="I36" s="28">
        <v>0</v>
      </c>
      <c r="J36" s="28">
        <v>1</v>
      </c>
      <c r="K36" s="28">
        <v>1</v>
      </c>
    </row>
    <row r="37" spans="1:13">
      <c r="A37" s="5" t="s">
        <v>53</v>
      </c>
      <c r="B37" s="6" t="e">
        <f>IF(C37="","",VLOOKUP(C37,#REF!,2,FALSE))</f>
        <v>#REF!</v>
      </c>
      <c r="C37" s="7" t="s">
        <v>42</v>
      </c>
      <c r="D37" s="8" t="s">
        <v>22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535"/>
      <c r="I37" s="28">
        <v>40</v>
      </c>
      <c r="J37" s="28">
        <v>1</v>
      </c>
      <c r="K37" s="28">
        <v>1</v>
      </c>
    </row>
    <row r="38" spans="1:13">
      <c r="A38" s="5" t="s">
        <v>54</v>
      </c>
      <c r="B38" s="6" t="e">
        <f>IF(C38="","",VLOOKUP(C38,#REF!,2,FALSE))</f>
        <v>#REF!</v>
      </c>
      <c r="C38" s="7" t="s">
        <v>44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535"/>
      <c r="I38" s="28">
        <v>80</v>
      </c>
      <c r="J38" s="28">
        <v>1</v>
      </c>
      <c r="K38" s="28">
        <v>1</v>
      </c>
    </row>
    <row r="39" spans="1:13" ht="24" customHeight="1">
      <c r="A39" s="5" t="s">
        <v>55</v>
      </c>
      <c r="B39" s="6" t="e">
        <f>IF(C39="","",VLOOKUP(C39,#REF!,2,FALSE))</f>
        <v>#REF!</v>
      </c>
      <c r="C39" s="7" t="s">
        <v>56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535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627" t="s">
        <v>57</v>
      </c>
      <c r="C40" s="627"/>
      <c r="D40" s="627"/>
      <c r="E40" s="627"/>
      <c r="F40" s="627"/>
      <c r="G40" s="18" t="e">
        <f>SUM(G41:G50)</f>
        <v>#REF!</v>
      </c>
      <c r="H40" s="535"/>
      <c r="I40" s="531"/>
      <c r="J40" s="531"/>
      <c r="K40" s="531"/>
      <c r="L40" s="42">
        <v>1</v>
      </c>
      <c r="M40" s="533" t="s">
        <v>58</v>
      </c>
    </row>
    <row r="41" spans="1:13">
      <c r="A41" s="5" t="s">
        <v>59</v>
      </c>
      <c r="B41" s="6" t="s">
        <v>30</v>
      </c>
      <c r="C41" s="7"/>
      <c r="D41" s="8" t="s">
        <v>22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535"/>
      <c r="I41" s="28">
        <v>40</v>
      </c>
      <c r="J41" s="28">
        <v>1</v>
      </c>
      <c r="K41" s="28">
        <v>1</v>
      </c>
      <c r="M41" s="28"/>
    </row>
    <row r="42" spans="1:13">
      <c r="A42" s="5" t="s">
        <v>60</v>
      </c>
      <c r="B42" s="6" t="s">
        <v>32</v>
      </c>
      <c r="C42" s="7"/>
      <c r="D42" s="8" t="s">
        <v>22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535"/>
      <c r="I42" s="28">
        <v>40</v>
      </c>
      <c r="J42" s="28">
        <v>1</v>
      </c>
      <c r="K42" s="28">
        <v>1</v>
      </c>
      <c r="M42" s="28"/>
    </row>
    <row r="43" spans="1:13">
      <c r="A43" s="5" t="s">
        <v>61</v>
      </c>
      <c r="B43" s="6" t="s">
        <v>34</v>
      </c>
      <c r="C43" s="7"/>
      <c r="D43" s="8" t="s">
        <v>22</v>
      </c>
      <c r="E43" s="9">
        <f t="shared" si="5"/>
        <v>40</v>
      </c>
      <c r="F43" s="10">
        <v>53.9</v>
      </c>
      <c r="G43" s="11">
        <f t="shared" si="4"/>
        <v>2156</v>
      </c>
      <c r="H43" s="535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62</v>
      </c>
      <c r="B44" s="6" t="e">
        <f>IF(C44="","",VLOOKUP(C44,#REF!,2,FALSE))</f>
        <v>#REF!</v>
      </c>
      <c r="C44" s="7" t="s">
        <v>36</v>
      </c>
      <c r="D44" s="8" t="s">
        <v>22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535"/>
      <c r="I44" s="28">
        <v>160</v>
      </c>
      <c r="J44" s="28">
        <v>1</v>
      </c>
      <c r="K44" s="28">
        <v>1</v>
      </c>
      <c r="M44" s="28"/>
    </row>
    <row r="45" spans="1:13">
      <c r="A45" s="5" t="s">
        <v>63</v>
      </c>
      <c r="B45" s="6" t="e">
        <f>IF(C45="","",VLOOKUP(C45,#REF!,2,FALSE))</f>
        <v>#REF!</v>
      </c>
      <c r="C45" s="7" t="s">
        <v>38</v>
      </c>
      <c r="D45" s="8" t="s">
        <v>22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535"/>
      <c r="I45" s="28">
        <v>160</v>
      </c>
      <c r="J45" s="28">
        <v>1</v>
      </c>
      <c r="K45" s="28">
        <v>2</v>
      </c>
      <c r="M45" s="28"/>
    </row>
    <row r="46" spans="1:13">
      <c r="A46" s="5" t="s">
        <v>64</v>
      </c>
      <c r="B46" s="6" t="e">
        <f>IF(C46="","",VLOOKUP(C46,#REF!,2,FALSE))</f>
        <v>#REF!</v>
      </c>
      <c r="C46" s="34" t="s">
        <v>65</v>
      </c>
      <c r="D46" s="8" t="s">
        <v>22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535"/>
      <c r="I46" s="28">
        <v>160</v>
      </c>
      <c r="J46" s="28">
        <v>1</v>
      </c>
      <c r="K46" s="28">
        <v>1</v>
      </c>
      <c r="M46" s="28"/>
    </row>
    <row r="47" spans="1:13">
      <c r="A47" s="5" t="s">
        <v>66</v>
      </c>
      <c r="B47" s="6" t="e">
        <f>IF(C47="","",VLOOKUP(C47,#REF!,2,FALSE))</f>
        <v>#REF!</v>
      </c>
      <c r="C47" s="7" t="s">
        <v>40</v>
      </c>
      <c r="D47" s="8" t="s">
        <v>22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535"/>
      <c r="I47" s="28">
        <v>160</v>
      </c>
      <c r="J47" s="28">
        <v>1</v>
      </c>
      <c r="K47" s="28">
        <v>1</v>
      </c>
      <c r="M47" s="28"/>
    </row>
    <row r="48" spans="1:13">
      <c r="A48" s="5" t="s">
        <v>67</v>
      </c>
      <c r="B48" s="6" t="e">
        <f>IF(C48="","",VLOOKUP(C48,#REF!,2,FALSE))</f>
        <v>#REF!</v>
      </c>
      <c r="C48" s="7" t="s">
        <v>42</v>
      </c>
      <c r="D48" s="8" t="s">
        <v>22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535"/>
      <c r="I48" s="28">
        <v>80</v>
      </c>
      <c r="J48" s="28">
        <v>1</v>
      </c>
      <c r="K48" s="28">
        <v>1</v>
      </c>
      <c r="M48" s="28"/>
    </row>
    <row r="49" spans="1:15">
      <c r="A49" s="5" t="s">
        <v>68</v>
      </c>
      <c r="B49" s="6" t="e">
        <f>IF(C49="","",VLOOKUP(C49,#REF!,2,FALSE))</f>
        <v>#REF!</v>
      </c>
      <c r="C49" s="7" t="s">
        <v>44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535"/>
      <c r="I49" s="28">
        <v>160</v>
      </c>
      <c r="J49" s="28">
        <v>1</v>
      </c>
      <c r="K49" s="28">
        <v>1</v>
      </c>
      <c r="M49" s="28"/>
    </row>
    <row r="50" spans="1:15">
      <c r="A50" s="5" t="s">
        <v>69</v>
      </c>
      <c r="B50" s="6" t="e">
        <f>IF(C50="","",VLOOKUP(C50,#REF!,2,FALSE))</f>
        <v>#REF!</v>
      </c>
      <c r="C50" s="7" t="s">
        <v>56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535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627" t="s">
        <v>70</v>
      </c>
      <c r="C51" s="627"/>
      <c r="D51" s="627"/>
      <c r="E51" s="627"/>
      <c r="F51" s="627"/>
      <c r="G51" s="18" t="e">
        <f>SUM(G52:G61)</f>
        <v>#REF!</v>
      </c>
      <c r="H51" s="535"/>
      <c r="I51" s="531"/>
      <c r="J51" s="531"/>
      <c r="K51" s="531"/>
      <c r="L51" s="42">
        <v>1</v>
      </c>
      <c r="M51" s="533" t="s">
        <v>71</v>
      </c>
    </row>
    <row r="52" spans="1:15" ht="12.75" customHeight="1">
      <c r="A52" s="5" t="s">
        <v>72</v>
      </c>
      <c r="B52" s="6" t="s">
        <v>30</v>
      </c>
      <c r="C52" s="7"/>
      <c r="D52" s="8" t="s">
        <v>22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535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73</v>
      </c>
      <c r="B53" s="6" t="s">
        <v>32</v>
      </c>
      <c r="C53" s="7"/>
      <c r="D53" s="8" t="s">
        <v>22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535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74</v>
      </c>
      <c r="B54" s="6" t="s">
        <v>34</v>
      </c>
      <c r="C54" s="7"/>
      <c r="D54" s="8" t="s">
        <v>22</v>
      </c>
      <c r="E54" s="9">
        <f t="shared" si="7"/>
        <v>80</v>
      </c>
      <c r="F54" s="10">
        <v>53.9</v>
      </c>
      <c r="G54" s="11">
        <f t="shared" si="6"/>
        <v>4312</v>
      </c>
      <c r="H54" s="535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75</v>
      </c>
      <c r="B55" s="6" t="e">
        <f>IF(C55="","",VLOOKUP(C55,#REF!,2,FALSE))</f>
        <v>#REF!</v>
      </c>
      <c r="C55" s="7" t="s">
        <v>36</v>
      </c>
      <c r="D55" s="8" t="s">
        <v>22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535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76</v>
      </c>
      <c r="B56" s="6" t="e">
        <f>IF(C56="","",VLOOKUP(C56,#REF!,2,FALSE))</f>
        <v>#REF!</v>
      </c>
      <c r="C56" s="7" t="s">
        <v>38</v>
      </c>
      <c r="D56" s="8" t="s">
        <v>22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535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77</v>
      </c>
      <c r="B57" s="6" t="e">
        <f>IF(C57="","",VLOOKUP(C57,#REF!,2,FALSE))</f>
        <v>#REF!</v>
      </c>
      <c r="C57" s="7" t="s">
        <v>65</v>
      </c>
      <c r="D57" s="8" t="s">
        <v>22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535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78</v>
      </c>
      <c r="B58" s="6" t="e">
        <f>IF(C58="","",VLOOKUP(C58,#REF!,2,FALSE))</f>
        <v>#REF!</v>
      </c>
      <c r="C58" s="7" t="s">
        <v>40</v>
      </c>
      <c r="D58" s="8" t="s">
        <v>22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535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79</v>
      </c>
      <c r="B59" s="6" t="e">
        <f>IF(C59="","",VLOOKUP(C59,#REF!,2,FALSE))</f>
        <v>#REF!</v>
      </c>
      <c r="C59" s="7" t="s">
        <v>42</v>
      </c>
      <c r="D59" s="8" t="s">
        <v>22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535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80</v>
      </c>
      <c r="B60" s="6" t="e">
        <f>IF(C60="","",VLOOKUP(C60,#REF!,2,FALSE))</f>
        <v>#REF!</v>
      </c>
      <c r="C60" s="7" t="s">
        <v>44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535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81</v>
      </c>
      <c r="B61" s="6" t="e">
        <f>IF(C61="","",VLOOKUP(C61,#REF!,2,FALSE))</f>
        <v>#REF!</v>
      </c>
      <c r="C61" s="7" t="s">
        <v>56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535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624" t="s">
        <v>82</v>
      </c>
      <c r="C62" s="624"/>
      <c r="D62" s="624"/>
      <c r="E62" s="17"/>
      <c r="F62" s="17"/>
      <c r="G62" s="18" t="e">
        <f>SUM(G63:G70)</f>
        <v>#REF!</v>
      </c>
      <c r="H62" s="535"/>
      <c r="I62" s="531"/>
      <c r="J62" s="531"/>
      <c r="K62" s="531"/>
      <c r="L62" s="42">
        <v>1</v>
      </c>
      <c r="M62" s="533" t="s">
        <v>83</v>
      </c>
    </row>
    <row r="63" spans="1:15">
      <c r="A63" s="5" t="s">
        <v>84</v>
      </c>
      <c r="B63" s="6" t="s">
        <v>30</v>
      </c>
      <c r="C63" s="7"/>
      <c r="D63" s="8" t="s">
        <v>22</v>
      </c>
      <c r="E63" s="9">
        <f>I63*J63*K63</f>
        <v>0</v>
      </c>
      <c r="F63" s="10">
        <v>53.9</v>
      </c>
      <c r="G63" s="11">
        <f t="shared" ref="G63:G70" si="8">E63*F63</f>
        <v>0</v>
      </c>
      <c r="H63" s="535"/>
      <c r="I63" s="28">
        <v>160</v>
      </c>
      <c r="J63" s="28">
        <v>1</v>
      </c>
      <c r="K63" s="28">
        <v>0</v>
      </c>
    </row>
    <row r="64" spans="1:15">
      <c r="A64" s="5" t="s">
        <v>85</v>
      </c>
      <c r="B64" s="6" t="s">
        <v>32</v>
      </c>
      <c r="C64" s="7"/>
      <c r="D64" s="8" t="s">
        <v>22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535"/>
      <c r="I64" s="28">
        <v>20</v>
      </c>
      <c r="J64" s="28">
        <v>1</v>
      </c>
      <c r="K64" s="28">
        <v>1</v>
      </c>
    </row>
    <row r="65" spans="1:14">
      <c r="A65" s="5" t="s">
        <v>86</v>
      </c>
      <c r="B65" s="6" t="s">
        <v>34</v>
      </c>
      <c r="C65" s="7"/>
      <c r="D65" s="8" t="s">
        <v>22</v>
      </c>
      <c r="E65" s="9">
        <f t="shared" si="9"/>
        <v>0</v>
      </c>
      <c r="F65" s="10">
        <v>53.9</v>
      </c>
      <c r="G65" s="11">
        <f t="shared" si="8"/>
        <v>0</v>
      </c>
      <c r="H65" s="535"/>
      <c r="I65" s="28">
        <v>160</v>
      </c>
      <c r="J65" s="28">
        <v>1</v>
      </c>
      <c r="K65" s="28">
        <v>0</v>
      </c>
    </row>
    <row r="66" spans="1:14">
      <c r="A66" s="5" t="s">
        <v>87</v>
      </c>
      <c r="B66" s="6" t="e">
        <f>IF(C66="","",VLOOKUP(C66,#REF!,2,FALSE))</f>
        <v>#REF!</v>
      </c>
      <c r="C66" s="7" t="s">
        <v>36</v>
      </c>
      <c r="D66" s="8" t="s">
        <v>22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535"/>
      <c r="I66" s="28">
        <v>40</v>
      </c>
      <c r="J66" s="531">
        <v>1</v>
      </c>
      <c r="K66" s="28">
        <v>1</v>
      </c>
    </row>
    <row r="67" spans="1:14">
      <c r="A67" s="5" t="s">
        <v>88</v>
      </c>
      <c r="B67" s="6" t="e">
        <f>IF(C67="","",VLOOKUP(C67,#REF!,2,FALSE))</f>
        <v>#REF!</v>
      </c>
      <c r="C67" s="7" t="s">
        <v>38</v>
      </c>
      <c r="D67" s="8" t="s">
        <v>22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535"/>
      <c r="I67" s="28">
        <v>160</v>
      </c>
      <c r="J67" s="531">
        <v>1</v>
      </c>
      <c r="K67" s="28">
        <v>1</v>
      </c>
    </row>
    <row r="68" spans="1:14">
      <c r="A68" s="5" t="s">
        <v>89</v>
      </c>
      <c r="B68" s="6" t="e">
        <f>IF(C68="","",VLOOKUP(C68,#REF!,2,FALSE))</f>
        <v>#REF!</v>
      </c>
      <c r="C68" s="7" t="s">
        <v>40</v>
      </c>
      <c r="D68" s="8" t="s">
        <v>22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535"/>
      <c r="I68" s="28">
        <v>160</v>
      </c>
      <c r="J68" s="531">
        <v>1</v>
      </c>
      <c r="K68" s="28">
        <v>0</v>
      </c>
    </row>
    <row r="69" spans="1:14">
      <c r="A69" s="5" t="s">
        <v>90</v>
      </c>
      <c r="B69" s="6" t="e">
        <f>IF(C69="","",VLOOKUP(C69,#REF!,2,FALSE))</f>
        <v>#REF!</v>
      </c>
      <c r="C69" s="7" t="s">
        <v>42</v>
      </c>
      <c r="D69" s="8" t="s">
        <v>22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535"/>
      <c r="I69" s="28">
        <v>160</v>
      </c>
      <c r="J69" s="531">
        <v>1</v>
      </c>
      <c r="K69" s="28">
        <v>0</v>
      </c>
    </row>
    <row r="70" spans="1:14">
      <c r="A70" s="5" t="s">
        <v>91</v>
      </c>
      <c r="B70" s="6" t="e">
        <f>IF(C70="","",VLOOKUP(C70,#REF!,2,FALSE))</f>
        <v>#REF!</v>
      </c>
      <c r="C70" s="7" t="s">
        <v>44</v>
      </c>
      <c r="D70" s="8" t="s">
        <v>22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535"/>
      <c r="I70" s="28">
        <v>160</v>
      </c>
      <c r="J70" s="531">
        <v>1</v>
      </c>
      <c r="K70" s="28">
        <v>0</v>
      </c>
    </row>
    <row r="71" spans="1:14">
      <c r="A71" s="16">
        <v>6</v>
      </c>
      <c r="B71" s="624" t="s">
        <v>92</v>
      </c>
      <c r="C71" s="624"/>
      <c r="D71" s="624"/>
      <c r="E71" s="17"/>
      <c r="F71" s="17"/>
      <c r="G71" s="18" t="e">
        <f>SUM(G72:G76)</f>
        <v>#REF!</v>
      </c>
      <c r="H71" s="535"/>
      <c r="I71" s="531"/>
      <c r="J71" s="531"/>
      <c r="K71" s="531"/>
      <c r="L71" s="42">
        <v>1</v>
      </c>
      <c r="M71" s="533" t="s">
        <v>93</v>
      </c>
      <c r="N71" s="532" t="s">
        <v>94</v>
      </c>
    </row>
    <row r="72" spans="1:14">
      <c r="A72" s="5" t="s">
        <v>95</v>
      </c>
      <c r="B72" s="6" t="e">
        <f>IF(C72="","",VLOOKUP(C72,#REF!,2,FALSE))</f>
        <v>#REF!</v>
      </c>
      <c r="C72" s="7" t="s">
        <v>36</v>
      </c>
      <c r="D72" s="8" t="s">
        <v>22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535"/>
      <c r="I72" s="28">
        <v>40</v>
      </c>
      <c r="J72" s="531">
        <v>1</v>
      </c>
      <c r="K72" s="531">
        <v>1</v>
      </c>
    </row>
    <row r="73" spans="1:14">
      <c r="A73" s="5" t="s">
        <v>96</v>
      </c>
      <c r="B73" s="6" t="e">
        <f>IF(C73="","",VLOOKUP(C73,#REF!,2,FALSE))</f>
        <v>#REF!</v>
      </c>
      <c r="C73" s="7" t="s">
        <v>38</v>
      </c>
      <c r="D73" s="8" t="s">
        <v>22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535"/>
      <c r="I73" s="28">
        <v>160</v>
      </c>
      <c r="J73" s="531">
        <v>1</v>
      </c>
      <c r="K73" s="531">
        <v>1</v>
      </c>
    </row>
    <row r="74" spans="1:14">
      <c r="A74" s="5" t="s">
        <v>97</v>
      </c>
      <c r="B74" s="6" t="e">
        <f>IF(C74="","",VLOOKUP(C74,#REF!,2,FALSE))</f>
        <v>#REF!</v>
      </c>
      <c r="C74" s="7" t="s">
        <v>40</v>
      </c>
      <c r="D74" s="8" t="s">
        <v>22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535"/>
      <c r="I74" s="28">
        <v>160</v>
      </c>
      <c r="J74" s="531">
        <v>1</v>
      </c>
      <c r="K74" s="531">
        <v>0</v>
      </c>
    </row>
    <row r="75" spans="1:14">
      <c r="A75" s="5" t="s">
        <v>98</v>
      </c>
      <c r="B75" s="6" t="s">
        <v>99</v>
      </c>
      <c r="C75" s="7"/>
      <c r="D75" s="8" t="s">
        <v>22</v>
      </c>
      <c r="E75" s="9">
        <f>I75*J75*K75</f>
        <v>160</v>
      </c>
      <c r="F75" s="10">
        <v>53.9</v>
      </c>
      <c r="G75" s="11">
        <f>E75*F75</f>
        <v>8624</v>
      </c>
      <c r="H75" s="535"/>
      <c r="I75" s="28">
        <v>160</v>
      </c>
      <c r="J75" s="531">
        <v>1</v>
      </c>
      <c r="K75" s="531">
        <v>1</v>
      </c>
    </row>
    <row r="76" spans="1:14">
      <c r="A76" s="5" t="s">
        <v>100</v>
      </c>
      <c r="B76" s="6" t="e">
        <f>IF(C76="","",VLOOKUP(C76,#REF!,2,FALSE))</f>
        <v>#REF!</v>
      </c>
      <c r="C76" s="7" t="s">
        <v>56</v>
      </c>
      <c r="D76" s="8" t="s">
        <v>22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535"/>
      <c r="I76" s="28">
        <v>40</v>
      </c>
      <c r="J76" s="531">
        <v>1</v>
      </c>
      <c r="K76" s="531">
        <v>1</v>
      </c>
    </row>
    <row r="77" spans="1:14" hidden="1">
      <c r="A77" s="625" t="s">
        <v>101</v>
      </c>
      <c r="B77" s="626"/>
      <c r="C77" s="626"/>
      <c r="D77" s="626"/>
      <c r="E77" s="626"/>
      <c r="F77" s="626"/>
      <c r="G77" s="11" t="e">
        <f>((G17/10)*9)+SUM(G21,G30,G40,#REF!,G51,#REF!,#REF!,G62,G71)</f>
        <v>#REF!</v>
      </c>
      <c r="H77" s="535"/>
      <c r="J77" s="531"/>
      <c r="K77" s="531"/>
    </row>
    <row r="78" spans="1:14" hidden="1">
      <c r="A78" s="625" t="s">
        <v>102</v>
      </c>
      <c r="B78" s="626"/>
      <c r="C78" s="626"/>
      <c r="D78" s="626"/>
      <c r="E78" s="626"/>
      <c r="F78" s="626"/>
      <c r="G78" s="11" t="e">
        <f>G77*1.16</f>
        <v>#REF!</v>
      </c>
      <c r="H78" s="535"/>
      <c r="J78" s="531"/>
      <c r="K78" s="531"/>
    </row>
    <row r="79" spans="1:14">
      <c r="A79" s="26"/>
      <c r="B79" s="536"/>
      <c r="C79" s="537"/>
      <c r="D79" s="538"/>
      <c r="E79" s="539"/>
      <c r="F79" s="540"/>
      <c r="G79" s="541"/>
      <c r="H79" s="3"/>
      <c r="I79" s="24"/>
      <c r="J79" s="4"/>
      <c r="K79" s="15"/>
      <c r="L79" s="42">
        <f>SUM(L21:L78)</f>
        <v>6</v>
      </c>
      <c r="M79" s="533" t="s">
        <v>103</v>
      </c>
    </row>
    <row r="80" spans="1:14">
      <c r="A80" s="26"/>
      <c r="B80" s="25" t="s">
        <v>104</v>
      </c>
      <c r="C80" s="20"/>
      <c r="D80" s="20"/>
      <c r="E80" s="21"/>
      <c r="F80" s="22"/>
      <c r="G80" s="23" t="e">
        <f>SUM(G71,G62,G51,,G40,G30,G21,G17)</f>
        <v>#REF!</v>
      </c>
      <c r="H80" s="535"/>
      <c r="I80" s="531"/>
      <c r="J80" s="531"/>
      <c r="K80" s="531"/>
    </row>
    <row r="81" spans="1:11">
      <c r="A81" s="27"/>
      <c r="B81" s="25" t="s">
        <v>105</v>
      </c>
      <c r="C81" s="20"/>
      <c r="D81" s="20"/>
      <c r="E81" s="21"/>
      <c r="F81" s="22"/>
      <c r="G81" s="23" t="e">
        <f>G80*0.08</f>
        <v>#REF!</v>
      </c>
      <c r="H81" s="535"/>
      <c r="I81" s="531"/>
      <c r="J81" s="531"/>
      <c r="K81" s="531"/>
    </row>
    <row r="82" spans="1:11">
      <c r="A82" s="27"/>
      <c r="B82" s="25" t="s">
        <v>106</v>
      </c>
      <c r="C82" s="20"/>
      <c r="D82" s="20"/>
      <c r="E82" s="21"/>
      <c r="F82" s="22"/>
      <c r="G82" s="23" t="e">
        <f>SUM(G80:G81)</f>
        <v>#REF!</v>
      </c>
      <c r="H82" s="535"/>
      <c r="I82" s="531"/>
      <c r="J82" s="531"/>
      <c r="K82" s="531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C518D-BCD6-4CD7-9CF9-67FA1CC222EF}">
  <sheetPr>
    <tabColor theme="8" tint="-0.249977111117893"/>
    <pageSetUpPr fitToPage="1"/>
  </sheetPr>
  <dimension ref="A1:L63"/>
  <sheetViews>
    <sheetView showGridLines="0" view="pageBreakPreview" topLeftCell="A11" zoomScale="85" zoomScaleNormal="100" zoomScaleSheetLayoutView="85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3.570312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490</v>
      </c>
      <c r="C2" s="82" t="str">
        <f>'Horas trabalhadas'!E9</f>
        <v xml:space="preserve">Cadastro Técnico 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847.68999999999994</v>
      </c>
      <c r="J7" s="428">
        <f>I7/$I$50</f>
        <v>3.7731960598412717E-2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847.68999999999994</v>
      </c>
      <c r="J9" s="444">
        <f>SUM(J10:J14)</f>
        <v>3.7731960598412717E-2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234">
        <f>'Horas trabalhadas'!E10</f>
        <v>0</v>
      </c>
      <c r="H10" s="228">
        <f>E10*G10</f>
        <v>0</v>
      </c>
      <c r="I10" s="228">
        <f>ROUND(H10*K!$G$22,2)</f>
        <v>0</v>
      </c>
      <c r="J10" s="243">
        <f>I10/$I$50</f>
        <v>0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234">
        <f>'Horas trabalhadas'!E11</f>
        <v>0</v>
      </c>
      <c r="H11" s="228">
        <f>E11*G11</f>
        <v>0</v>
      </c>
      <c r="I11" s="228">
        <f>ROUND(H11*K!$G$22,2)</f>
        <v>0</v>
      </c>
      <c r="J11" s="243">
        <f>I11/$I$50</f>
        <v>0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234">
        <f>'Horas trabalhadas'!E12</f>
        <v>4</v>
      </c>
      <c r="H12" s="228">
        <f>E12*G12</f>
        <v>263.39999999999998</v>
      </c>
      <c r="I12" s="228">
        <f>ROUND(H12*K!$G$22,2)</f>
        <v>651.04</v>
      </c>
      <c r="J12" s="243">
        <f>I12/$I$50</f>
        <v>2.897877246161995E-2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234">
        <f>'Horas trabalhadas'!E13</f>
        <v>4</v>
      </c>
      <c r="H13" s="228">
        <f t="shared" ref="H13:H14" si="0">E13*G13</f>
        <v>47.44</v>
      </c>
      <c r="I13" s="228">
        <f>ROUND(H13*K!$G$22,2)</f>
        <v>117.26</v>
      </c>
      <c r="J13" s="243">
        <f t="shared" ref="J13:J14" si="1">I13/$I$50</f>
        <v>5.2194194809067887E-3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32">
        <f>'Horas trabalhadas'!E14</f>
        <v>4</v>
      </c>
      <c r="H14" s="737">
        <f t="shared" si="0"/>
        <v>32.119999999999997</v>
      </c>
      <c r="I14" s="737">
        <f>ROUND(H14*K!$G$22,2)</f>
        <v>79.39</v>
      </c>
      <c r="J14" s="738">
        <f t="shared" si="1"/>
        <v>3.5337686558859797E-3</v>
      </c>
    </row>
    <row r="15" spans="1:12" ht="6" customHeight="1">
      <c r="A15" s="152"/>
      <c r="B15" s="152"/>
      <c r="C15" s="152"/>
      <c r="D15" s="153"/>
      <c r="E15" s="154"/>
      <c r="F15" s="177"/>
      <c r="G15" s="156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425"/>
      <c r="H16" s="425"/>
      <c r="I16" s="427">
        <f>I18</f>
        <v>418.56</v>
      </c>
      <c r="J16" s="428">
        <f>I16/$I$50</f>
        <v>1.8630736977045415E-2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158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430"/>
      <c r="H18" s="431"/>
      <c r="I18" s="432">
        <f>SUM(I19:I24)</f>
        <v>418.56</v>
      </c>
      <c r="J18" s="445">
        <f>SUM(J19:J24)</f>
        <v>1.8630736977045415E-2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229">
        <f>'Horas trabalhadas'!E15</f>
        <v>0</v>
      </c>
      <c r="H19" s="228">
        <f>E19*G19</f>
        <v>0</v>
      </c>
      <c r="I19" s="228">
        <f>ROUND(H19*K!$G$23,2)</f>
        <v>0</v>
      </c>
      <c r="J19" s="242">
        <f t="shared" ref="J19:J24" si="2">I19/$I$50</f>
        <v>0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229">
        <f>'Horas trabalhadas'!E16</f>
        <v>0</v>
      </c>
      <c r="H20" s="228">
        <f t="shared" ref="H20:H24" si="3">E20*G20</f>
        <v>0</v>
      </c>
      <c r="I20" s="228">
        <f>ROUND(H20*K!$G$23,2)</f>
        <v>0</v>
      </c>
      <c r="J20" s="242">
        <f t="shared" si="2"/>
        <v>0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229">
        <f>'Horas trabalhadas'!E17</f>
        <v>0</v>
      </c>
      <c r="H21" s="228">
        <f t="shared" si="3"/>
        <v>0</v>
      </c>
      <c r="I21" s="228">
        <f>ROUND(H21*K!$G$23,2)</f>
        <v>0</v>
      </c>
      <c r="J21" s="242">
        <f t="shared" si="2"/>
        <v>0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229">
        <f>'Horas trabalhadas'!E18</f>
        <v>0</v>
      </c>
      <c r="H22" s="228">
        <f t="shared" si="3"/>
        <v>0</v>
      </c>
      <c r="I22" s="228">
        <f>ROUND(H22*K!$G$23,2)</f>
        <v>0</v>
      </c>
      <c r="J22" s="242">
        <f t="shared" si="2"/>
        <v>0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229">
        <f>'Horas trabalhadas'!E19</f>
        <v>0</v>
      </c>
      <c r="H23" s="228">
        <f t="shared" si="3"/>
        <v>0</v>
      </c>
      <c r="I23" s="228">
        <f>ROUND(H23*K!$G$23,2)</f>
        <v>0</v>
      </c>
      <c r="J23" s="242">
        <f t="shared" si="2"/>
        <v>0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229">
        <f>'Horas trabalhadas'!E20</f>
        <v>14</v>
      </c>
      <c r="H24" s="228">
        <f t="shared" si="3"/>
        <v>245.56</v>
      </c>
      <c r="I24" s="228">
        <f>ROUND(H24*K!$G$23,2)</f>
        <v>418.56</v>
      </c>
      <c r="J24" s="242">
        <f t="shared" si="2"/>
        <v>1.8630736977045415E-2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20340.75</v>
      </c>
      <c r="J26" s="428">
        <f>I26/$I$50</f>
        <v>0.9053974655147089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Serviços!F10</f>
        <v>0</v>
      </c>
      <c r="H29" s="228">
        <f>G29*E29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f>Serviços!F11</f>
        <v>0</v>
      </c>
      <c r="H30" s="228">
        <f t="shared" ref="H30:H31" si="4">G30*E30</f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f>Serviços!F12</f>
        <v>0</v>
      </c>
      <c r="H31" s="228">
        <f t="shared" si="4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Serviços!E15</f>
        <v>0</v>
      </c>
      <c r="H34" s="228">
        <f>G34*E34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Serviços!E16</f>
        <v>0</v>
      </c>
      <c r="H35" s="228">
        <f>G35*E35</f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7">
        <f>Serviços!E17</f>
        <v>0</v>
      </c>
      <c r="H36" s="228">
        <f>G36*E36</f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7">
        <f>Serviços!E18</f>
        <v>0</v>
      </c>
      <c r="H37" s="228">
        <f>G37*E37</f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156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20340.75</v>
      </c>
      <c r="J39" s="443">
        <f>SUM(J40:J41)</f>
        <v>0.90539746551470879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461">
        <f>Serviços!F13</f>
        <v>0.2</v>
      </c>
      <c r="H40" s="228">
        <f>ROUND(G40*E40,2)</f>
        <v>9164.4</v>
      </c>
      <c r="I40" s="228">
        <f>ROUND(H40*K!$G$24,2)</f>
        <v>13345.35</v>
      </c>
      <c r="J40" s="243">
        <f>I40/$I$50</f>
        <v>0.59402165930001205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461">
        <f>Serviços!F14</f>
        <v>0.2</v>
      </c>
      <c r="H41" s="228">
        <f>G41*E41</f>
        <v>4803.8179679621153</v>
      </c>
      <c r="I41" s="228">
        <f>ROUND(H41*K!$G$24,2)</f>
        <v>6995.4</v>
      </c>
      <c r="J41" s="242">
        <f>I41/$I$50</f>
        <v>0.31137580621469679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158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3.8239836909833035E-2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3.8239836909833042E-2</v>
      </c>
    </row>
    <row r="46" spans="1:10" s="117" customFormat="1" ht="16.149999999999999" customHeight="1">
      <c r="A46" s="230"/>
      <c r="B46" s="234" t="s">
        <v>185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5">G46*E46</f>
        <v>153.9163096481706</v>
      </c>
      <c r="I46" s="228">
        <f>ROUND(H46*K!$G$25,2)</f>
        <v>191.1</v>
      </c>
      <c r="J46" s="243">
        <f>I46/$I$50</f>
        <v>8.5061492648924389E-3</v>
      </c>
    </row>
    <row r="47" spans="1:10" s="117" customFormat="1" ht="16.149999999999999" customHeight="1">
      <c r="A47" s="230"/>
      <c r="B47" s="234" t="s">
        <v>188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5"/>
        <v>98.04</v>
      </c>
      <c r="I47" s="228">
        <f>ROUND(H47*K!$G$25,2)</f>
        <v>121.72</v>
      </c>
      <c r="J47" s="243">
        <f>I47/$I$50</f>
        <v>5.4179408085960629E-3</v>
      </c>
    </row>
    <row r="48" spans="1:10" s="117" customFormat="1" ht="16.149999999999999" customHeight="1">
      <c r="A48" s="230"/>
      <c r="B48" s="234" t="s">
        <v>191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5"/>
        <v>440</v>
      </c>
      <c r="I48" s="228">
        <f>ROUND(H48*K!$G$25,2)</f>
        <v>546.28</v>
      </c>
      <c r="J48" s="243">
        <f>I48/$I$50</f>
        <v>2.4315746836344538E-2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22466.1</v>
      </c>
      <c r="J50" s="441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AF87-DBC9-4DB5-8905-336ED5C7FDE3}">
  <sheetPr>
    <tabColor theme="8" tint="-0.249977111117893"/>
    <pageSetUpPr fitToPage="1"/>
  </sheetPr>
  <dimension ref="A1:L63"/>
  <sheetViews>
    <sheetView showGridLines="0" view="pageBreakPreview" zoomScaleNormal="100" zoomScaleSheetLayoutView="10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491</v>
      </c>
      <c r="C2" s="82" t="str">
        <f>'Horas trabalhadas'!F9</f>
        <v>Estudo de Concepção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17583.649999999998</v>
      </c>
      <c r="J7" s="428">
        <f>I7/$I$50</f>
        <v>0.94308651371240981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17583.649999999998</v>
      </c>
      <c r="J9" s="444">
        <f>SUM(J10:J14)</f>
        <v>0.94308651371240992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234">
        <f>'Horas trabalhadas'!F10</f>
        <v>14.399999999999999</v>
      </c>
      <c r="H10" s="228">
        <f>E10*G10</f>
        <v>1457.9999999999998</v>
      </c>
      <c r="I10" s="228">
        <f>ROUND(H10*K!$G$22,2)</f>
        <v>3603.71</v>
      </c>
      <c r="J10" s="243">
        <f>I10/$I$50</f>
        <v>0.1932824129421678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234">
        <f>'Horas trabalhadas'!F11</f>
        <v>40</v>
      </c>
      <c r="H11" s="228">
        <f>E11*G11</f>
        <v>2729.6</v>
      </c>
      <c r="I11" s="228">
        <f>ROUND(H11*K!$G$22,2)</f>
        <v>6746.71</v>
      </c>
      <c r="J11" s="243">
        <f>I11/$I$50</f>
        <v>0.3618549739632359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234">
        <f>'Horas trabalhadas'!F12</f>
        <v>38.4</v>
      </c>
      <c r="H12" s="228">
        <f>E12*G12</f>
        <v>2528.64</v>
      </c>
      <c r="I12" s="228">
        <f>ROUND(H12*K!$G$22,2)</f>
        <v>6250</v>
      </c>
      <c r="J12" s="243">
        <f>I12/$I$50</f>
        <v>0.33521428774472661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234">
        <f>'Horas trabalhadas'!F13</f>
        <v>20</v>
      </c>
      <c r="H13" s="228">
        <f t="shared" ref="H13:H14" si="0">E13*G13</f>
        <v>237.2</v>
      </c>
      <c r="I13" s="228">
        <f>ROUND(H13*K!$G$22,2)</f>
        <v>586.28</v>
      </c>
      <c r="J13" s="243">
        <f t="shared" ref="J13:J14" si="1">I13/$I$50</f>
        <v>3.1444709219036526E-2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32">
        <f>'Horas trabalhadas'!F14</f>
        <v>20</v>
      </c>
      <c r="H14" s="737">
        <f t="shared" si="0"/>
        <v>160.6</v>
      </c>
      <c r="I14" s="737">
        <f>ROUND(H14*K!$G$22,2)</f>
        <v>396.95</v>
      </c>
      <c r="J14" s="738">
        <f t="shared" si="1"/>
        <v>2.1290129843243074E-2</v>
      </c>
    </row>
    <row r="15" spans="1:12" ht="6" customHeight="1">
      <c r="A15" s="152"/>
      <c r="B15" s="152"/>
      <c r="C15" s="152"/>
      <c r="D15" s="153"/>
      <c r="E15" s="154"/>
      <c r="F15" s="177"/>
      <c r="G15" s="156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425"/>
      <c r="H16" s="425"/>
      <c r="I16" s="427">
        <f>I18</f>
        <v>202.04</v>
      </c>
      <c r="J16" s="428">
        <f>I16/$I$50</f>
        <v>1.0836271151351129E-2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158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430"/>
      <c r="H18" s="431"/>
      <c r="I18" s="432">
        <f>SUM(I19:I24)</f>
        <v>202.04</v>
      </c>
      <c r="J18" s="445">
        <f>SUM(J19:J24)</f>
        <v>1.0836271151351129E-2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229">
        <f>'Horas trabalhadas'!F15</f>
        <v>1.75</v>
      </c>
      <c r="H19" s="228">
        <f>ROUND(E19*G19,2)</f>
        <v>118.53</v>
      </c>
      <c r="I19" s="228">
        <f>ROUND(H19*K!$G$23,2)</f>
        <v>202.04</v>
      </c>
      <c r="J19" s="242">
        <f t="shared" ref="J19:J24" si="2">I19/$I$50</f>
        <v>1.0836271151351129E-2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229">
        <f>'Horas trabalhadas'!F16</f>
        <v>0</v>
      </c>
      <c r="H20" s="228">
        <f t="shared" ref="H20:H24" si="3">E20*G20</f>
        <v>0</v>
      </c>
      <c r="I20" s="228">
        <f>ROUND(H20*K!$G$23,2)</f>
        <v>0</v>
      </c>
      <c r="J20" s="242">
        <f t="shared" si="2"/>
        <v>0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229">
        <f>'Horas trabalhadas'!F17</f>
        <v>0</v>
      </c>
      <c r="H21" s="228">
        <f t="shared" si="3"/>
        <v>0</v>
      </c>
      <c r="I21" s="228">
        <f>ROUND(H21*K!$G$23,2)</f>
        <v>0</v>
      </c>
      <c r="J21" s="242">
        <f t="shared" si="2"/>
        <v>0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229">
        <f>'Horas trabalhadas'!F18</f>
        <v>0</v>
      </c>
      <c r="H22" s="228">
        <f t="shared" si="3"/>
        <v>0</v>
      </c>
      <c r="I22" s="228">
        <f>ROUND(H22*K!$G$23,2)</f>
        <v>0</v>
      </c>
      <c r="J22" s="242">
        <f t="shared" si="2"/>
        <v>0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229">
        <f>'Horas trabalhadas'!F19</f>
        <v>0</v>
      </c>
      <c r="H23" s="228">
        <f t="shared" si="3"/>
        <v>0</v>
      </c>
      <c r="I23" s="228">
        <f>ROUND(H23*K!$G$23,2)</f>
        <v>0</v>
      </c>
      <c r="J23" s="242">
        <f t="shared" si="2"/>
        <v>0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229">
        <f>'Horas trabalhadas'!F20</f>
        <v>0</v>
      </c>
      <c r="H24" s="228">
        <f t="shared" si="3"/>
        <v>0</v>
      </c>
      <c r="I24" s="228">
        <f>ROUND(H24*K!$G$23,2)</f>
        <v>0</v>
      </c>
      <c r="J24" s="242">
        <f t="shared" si="2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0</v>
      </c>
      <c r="J26" s="428">
        <f>I26/$I$50</f>
        <v>0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Serviços!G10</f>
        <v>0</v>
      </c>
      <c r="H29" s="228">
        <f>G29*E29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f>Serviços!G11</f>
        <v>0</v>
      </c>
      <c r="H30" s="228">
        <f t="shared" ref="H30:H31" si="4">G30*E30</f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f>Serviços!G12</f>
        <v>0</v>
      </c>
      <c r="H31" s="228">
        <f t="shared" si="4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Serviços!G15</f>
        <v>0</v>
      </c>
      <c r="H34" s="228">
        <f>G34*E34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Serviços!G16</f>
        <v>0</v>
      </c>
      <c r="H35" s="228">
        <f>G35*E35</f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7">
        <f>Serviços!G17</f>
        <v>0</v>
      </c>
      <c r="H36" s="228">
        <f>G36*E36</f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7">
        <f>Serviços!G18</f>
        <v>0</v>
      </c>
      <c r="H37" s="228">
        <f>G37*E37</f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237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f>Serviços!G13</f>
        <v>0</v>
      </c>
      <c r="H40" s="228">
        <f>G40*E40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f>Serviços!G14</f>
        <v>0</v>
      </c>
      <c r="H41" s="228">
        <f>G41*E41</f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158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4.6077215136239136E-2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4.6077215136239136E-2</v>
      </c>
    </row>
    <row r="46" spans="1:10" s="117" customFormat="1" ht="16.149999999999999" customHeight="1">
      <c r="A46" s="230"/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5">G46*E46</f>
        <v>153.9163096481706</v>
      </c>
      <c r="I46" s="228">
        <f>ROUND(H46*K!$G$25,2)</f>
        <v>191.1</v>
      </c>
      <c r="J46" s="243">
        <f>I46/$I$50</f>
        <v>1.024951206208276E-2</v>
      </c>
    </row>
    <row r="47" spans="1:10" s="117" customFormat="1" ht="16.149999999999999" customHeight="1">
      <c r="A47" s="230"/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5"/>
        <v>98.04</v>
      </c>
      <c r="I47" s="228">
        <f>ROUND(H47*K!$G$25,2)</f>
        <v>121.72</v>
      </c>
      <c r="J47" s="243">
        <f>I47/$I$50</f>
        <v>6.5283652966860997E-3</v>
      </c>
    </row>
    <row r="48" spans="1:10" s="117" customFormat="1" ht="16.149999999999999" customHeight="1">
      <c r="A48" s="230"/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5"/>
        <v>440</v>
      </c>
      <c r="I48" s="228">
        <f>ROUND(H48*K!$G$25,2)</f>
        <v>546.28</v>
      </c>
      <c r="J48" s="243">
        <f>I48/$I$50</f>
        <v>2.9299337777470277E-2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18644.789999999997</v>
      </c>
      <c r="J50" s="441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797A-ED81-49CB-9026-995CD14860C8}">
  <sheetPr>
    <tabColor theme="8" tint="-0.249977111117893"/>
    <pageSetUpPr fitToPage="1"/>
  </sheetPr>
  <dimension ref="A1:L63"/>
  <sheetViews>
    <sheetView showGridLines="0" view="pageBreakPreview" topLeftCell="C10" zoomScale="85" zoomScaleNormal="100" zoomScaleSheetLayoutView="85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492</v>
      </c>
      <c r="C2" s="82" t="str">
        <f>'Horas trabalhadas'!G9</f>
        <v>Projeto Básico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22558.420000000002</v>
      </c>
      <c r="J7" s="428">
        <f>I7/$I$50</f>
        <v>0.86582894919154851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22558.420000000002</v>
      </c>
      <c r="J9" s="444">
        <f>SUM(J10:J14)</f>
        <v>0.86582894919154862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234">
        <f>'Horas trabalhadas'!G10</f>
        <v>14.399999999999999</v>
      </c>
      <c r="H10" s="228">
        <f>ROUND(E10*G10,2)</f>
        <v>1458</v>
      </c>
      <c r="I10" s="228">
        <f>ROUND(H10*K!$G$22,2)</f>
        <v>3603.71</v>
      </c>
      <c r="J10" s="243">
        <f>I10/$I$50</f>
        <v>0.13831626694117208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234">
        <f>'Horas trabalhadas'!G11</f>
        <v>57.142857142857146</v>
      </c>
      <c r="H11" s="228">
        <f t="shared" ref="H11:H14" si="0">ROUND(E11*G11,2)</f>
        <v>3899.43</v>
      </c>
      <c r="I11" s="228">
        <f>ROUND(H11*K!$G$22,2)</f>
        <v>9638.15</v>
      </c>
      <c r="J11" s="243">
        <f>I11/$I$50</f>
        <v>0.3699279154590846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234">
        <f>'Horas trabalhadas'!G12</f>
        <v>51.2</v>
      </c>
      <c r="H12" s="228">
        <f t="shared" si="0"/>
        <v>3371.52</v>
      </c>
      <c r="I12" s="228">
        <f>ROUND(H12*K!$G$22,2)</f>
        <v>8333.33</v>
      </c>
      <c r="J12" s="243">
        <f>I12/$I$50</f>
        <v>0.31984679588226511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234">
        <f>'Horas trabalhadas'!G13</f>
        <v>20</v>
      </c>
      <c r="H13" s="228">
        <f t="shared" ref="H13:H14" si="1">ROUND(E13*G13,2)</f>
        <v>237.2</v>
      </c>
      <c r="I13" s="228">
        <f>ROUND(H13*K!$G$22,2)</f>
        <v>586.28</v>
      </c>
      <c r="J13" s="243">
        <f t="shared" ref="J13:J14" si="2">I13/$I$50</f>
        <v>2.2502382539735542E-2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32">
        <f>'Horas trabalhadas'!G14</f>
        <v>20</v>
      </c>
      <c r="H14" s="737">
        <f t="shared" si="1"/>
        <v>160.6</v>
      </c>
      <c r="I14" s="737">
        <f>ROUND(H14*K!$G$22,2)</f>
        <v>396.95</v>
      </c>
      <c r="J14" s="738">
        <f t="shared" si="2"/>
        <v>1.5235588369291163E-2</v>
      </c>
    </row>
    <row r="15" spans="1:12" ht="6" customHeight="1">
      <c r="A15" s="152"/>
      <c r="B15" s="152"/>
      <c r="C15" s="152"/>
      <c r="D15" s="153"/>
      <c r="E15" s="154"/>
      <c r="F15" s="177"/>
      <c r="G15" s="156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425"/>
      <c r="H16" s="425"/>
      <c r="I16" s="427">
        <f>I18</f>
        <v>2636.61</v>
      </c>
      <c r="J16" s="428">
        <f>I16/$I$50</f>
        <v>0.10119739173789338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158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430"/>
      <c r="H18" s="431"/>
      <c r="I18" s="432">
        <f>SUM(I19:I24)</f>
        <v>2636.61</v>
      </c>
      <c r="J18" s="445">
        <f>SUM(J19:J24)</f>
        <v>0.10119739173789338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229">
        <f>'Horas trabalhadas'!G15</f>
        <v>1.75</v>
      </c>
      <c r="H19" s="228">
        <f t="shared" ref="H19:H24" si="3">ROUND(E19*G19,2)</f>
        <v>118.53</v>
      </c>
      <c r="I19" s="228">
        <f>ROUND(H19*K!$G$23,2)</f>
        <v>202.04</v>
      </c>
      <c r="J19" s="242">
        <f t="shared" ref="J19:J24" si="4">I19/$I$50</f>
        <v>7.7546246986562204E-3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229">
        <f>'Horas trabalhadas'!G16</f>
        <v>2.8000000000000003</v>
      </c>
      <c r="H20" s="228">
        <f t="shared" si="3"/>
        <v>285.66000000000003</v>
      </c>
      <c r="I20" s="228">
        <f>ROUND(H20*K!$G$23,2)</f>
        <v>486.92</v>
      </c>
      <c r="J20" s="242">
        <f t="shared" si="4"/>
        <v>1.8688783697632584E-2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229">
        <f>'Horas trabalhadas'!G17</f>
        <v>8.4</v>
      </c>
      <c r="H21" s="228">
        <f t="shared" si="3"/>
        <v>856.97</v>
      </c>
      <c r="I21" s="228">
        <f>ROUND(H21*K!$G$23,2)</f>
        <v>1460.73</v>
      </c>
      <c r="J21" s="242">
        <f t="shared" si="4"/>
        <v>5.606519964397199E-2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229">
        <f>'Horas trabalhadas'!G18</f>
        <v>2.8000000000000003</v>
      </c>
      <c r="H22" s="228">
        <f t="shared" si="3"/>
        <v>285.66000000000003</v>
      </c>
      <c r="I22" s="228">
        <f>ROUND(H22*K!$G$23,2)</f>
        <v>486.92</v>
      </c>
      <c r="J22" s="242">
        <f t="shared" si="4"/>
        <v>1.8688783697632584E-2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229">
        <f>'Horas trabalhadas'!G19</f>
        <v>0</v>
      </c>
      <c r="H23" s="228">
        <f t="shared" si="3"/>
        <v>0</v>
      </c>
      <c r="I23" s="228">
        <f>ROUND(H23*K!$G$23,2)</f>
        <v>0</v>
      </c>
      <c r="J23" s="242">
        <f t="shared" si="4"/>
        <v>0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229">
        <f>'Horas trabalhadas'!G20</f>
        <v>0</v>
      </c>
      <c r="H24" s="228">
        <f t="shared" si="3"/>
        <v>0</v>
      </c>
      <c r="I24" s="228">
        <f>ROUND(H24*K!$G$23,2)</f>
        <v>0</v>
      </c>
      <c r="J24" s="242">
        <f t="shared" si="4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0</v>
      </c>
      <c r="J26" s="428">
        <f>I26/$I$50</f>
        <v>0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Serviços!H10</f>
        <v>0</v>
      </c>
      <c r="H29" s="228">
        <f t="shared" ref="H29:H31" si="5">ROUND(E29*G29,2)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f>Serviços!H11</f>
        <v>0</v>
      </c>
      <c r="H30" s="228">
        <f t="shared" si="5"/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f>Serviços!H12</f>
        <v>0</v>
      </c>
      <c r="H31" s="228">
        <f t="shared" si="5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Serviços!H15</f>
        <v>0</v>
      </c>
      <c r="H34" s="228">
        <f t="shared" ref="H34:H37" si="6">ROUND(E34*G34,2)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Serviços!H16</f>
        <v>0</v>
      </c>
      <c r="H35" s="228">
        <f t="shared" si="6"/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7">
        <f>Serviços!H17</f>
        <v>0</v>
      </c>
      <c r="H36" s="228">
        <f t="shared" si="6"/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7">
        <f>Serviços!H18</f>
        <v>0</v>
      </c>
      <c r="H37" s="228">
        <f t="shared" si="6"/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237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f>Serviços!H13</f>
        <v>0</v>
      </c>
      <c r="H40" s="228">
        <f t="shared" ref="H40:H41" si="7">ROUND(E40*G40,2)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f>Serviços!H14</f>
        <v>0</v>
      </c>
      <c r="H41" s="228">
        <f t="shared" si="7"/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158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3.2973659070558096E-2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3.2973659070558103E-2</v>
      </c>
    </row>
    <row r="46" spans="1:10" s="117" customFormat="1" ht="16.149999999999999" customHeight="1">
      <c r="A46" s="230"/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8">ROUND(E46*G46,2)</f>
        <v>153.91999999999999</v>
      </c>
      <c r="I46" s="228">
        <f>ROUND(H46*K!$G$25,2)</f>
        <v>191.1</v>
      </c>
      <c r="J46" s="243">
        <f>I46/$I$50</f>
        <v>7.3347296570639656E-3</v>
      </c>
    </row>
    <row r="47" spans="1:10" s="117" customFormat="1" ht="16.149999999999999" customHeight="1">
      <c r="A47" s="230"/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8"/>
        <v>98.04</v>
      </c>
      <c r="I47" s="228">
        <f>ROUND(H47*K!$G$25,2)</f>
        <v>121.72</v>
      </c>
      <c r="J47" s="243">
        <f>I47/$I$50</f>
        <v>4.6718121080995606E-3</v>
      </c>
    </row>
    <row r="48" spans="1:10" s="117" customFormat="1" ht="16.149999999999999" customHeight="1">
      <c r="A48" s="230"/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8"/>
        <v>440</v>
      </c>
      <c r="I48" s="228">
        <f>ROUND(H48*K!$G$25,2)</f>
        <v>546.28</v>
      </c>
      <c r="J48" s="243">
        <f>I48/$I$50</f>
        <v>2.0967117305394575E-2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26054.13</v>
      </c>
      <c r="J50" s="441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971D-1845-4A47-AAA1-921D89C46814}">
  <sheetPr>
    <tabColor theme="8" tint="-0.249977111117893"/>
    <pageSetUpPr fitToPage="1"/>
  </sheetPr>
  <dimension ref="A1:L63"/>
  <sheetViews>
    <sheetView showGridLines="0" view="pageBreakPreview" topLeftCell="A12" zoomScale="85" zoomScaleNormal="100" zoomScaleSheetLayoutView="85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493</v>
      </c>
      <c r="C2" s="82" t="str">
        <f>'Horas trabalhadas'!H9</f>
        <v>Estudos Geotécnicos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847.68999999999994</v>
      </c>
      <c r="J7" s="428">
        <f>I7/$I$50</f>
        <v>3.7963549725581698E-2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847.68999999999994</v>
      </c>
      <c r="J9" s="444">
        <f>SUM(J10:J14)</f>
        <v>3.7963549725581698E-2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234">
        <f>'Horas trabalhadas'!H10</f>
        <v>0</v>
      </c>
      <c r="H10" s="228">
        <f>ROUND(E10*G10,2)</f>
        <v>0</v>
      </c>
      <c r="I10" s="228">
        <f>ROUND(H10*K!$G$22,2)</f>
        <v>0</v>
      </c>
      <c r="J10" s="243">
        <f>I10/$I$50</f>
        <v>0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234">
        <f>'Horas trabalhadas'!H11</f>
        <v>0</v>
      </c>
      <c r="H11" s="228">
        <f t="shared" ref="H11:H14" si="0">ROUND(E11*G11,2)</f>
        <v>0</v>
      </c>
      <c r="I11" s="228">
        <f>ROUND(H11*K!$G$22,2)</f>
        <v>0</v>
      </c>
      <c r="J11" s="243">
        <f>I11/$I$50</f>
        <v>0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234">
        <f>'Horas trabalhadas'!H12</f>
        <v>4</v>
      </c>
      <c r="H12" s="228">
        <f t="shared" si="0"/>
        <v>263.39999999999998</v>
      </c>
      <c r="I12" s="228">
        <f>ROUND(H12*K!$G$22,2)</f>
        <v>651.04</v>
      </c>
      <c r="J12" s="243">
        <f>I12/$I$50</f>
        <v>2.9156636757945366E-2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234">
        <f>'Horas trabalhadas'!H13</f>
        <v>4</v>
      </c>
      <c r="H13" s="228">
        <f t="shared" ref="H13:H14" si="1">ROUND(E13*G13,2)</f>
        <v>47.44</v>
      </c>
      <c r="I13" s="228">
        <f>ROUND(H13*K!$G$22,2)</f>
        <v>117.26</v>
      </c>
      <c r="J13" s="243">
        <f t="shared" ref="J13:J14" si="2">I13/$I$50</f>
        <v>5.2514549432241863E-3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32">
        <f>'Horas trabalhadas'!H14</f>
        <v>4</v>
      </c>
      <c r="H14" s="737">
        <f t="shared" si="1"/>
        <v>32.119999999999997</v>
      </c>
      <c r="I14" s="737">
        <f>ROUND(H14*K!$G$22,2)</f>
        <v>79.39</v>
      </c>
      <c r="J14" s="738">
        <f t="shared" si="2"/>
        <v>3.5554580244121447E-3</v>
      </c>
    </row>
    <row r="15" spans="1:12" ht="6" customHeight="1">
      <c r="A15" s="152"/>
      <c r="B15" s="152"/>
      <c r="C15" s="152"/>
      <c r="D15" s="153"/>
      <c r="E15" s="154"/>
      <c r="F15" s="177"/>
      <c r="G15" s="156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425"/>
      <c r="H16" s="425"/>
      <c r="I16" s="427">
        <f>I18</f>
        <v>0</v>
      </c>
      <c r="J16" s="428">
        <f>I16/$I$50</f>
        <v>0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158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430"/>
      <c r="H18" s="431"/>
      <c r="I18" s="432">
        <f>SUM(I19:I24)</f>
        <v>0</v>
      </c>
      <c r="J18" s="445">
        <f>SUM(J19:J24)</f>
        <v>0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229">
        <f>'Horas trabalhadas'!H15</f>
        <v>0</v>
      </c>
      <c r="H19" s="228">
        <f t="shared" ref="H19:H24" si="3">ROUND(E19*G19,2)</f>
        <v>0</v>
      </c>
      <c r="I19" s="228">
        <f>ROUND(H19*K!$G$23,2)</f>
        <v>0</v>
      </c>
      <c r="J19" s="242">
        <f t="shared" ref="J19:J24" si="4">I19/$I$50</f>
        <v>0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229">
        <f>'Horas trabalhadas'!H16</f>
        <v>0</v>
      </c>
      <c r="H20" s="228">
        <f t="shared" si="3"/>
        <v>0</v>
      </c>
      <c r="I20" s="228">
        <f>ROUND(H20*K!$G$23,2)</f>
        <v>0</v>
      </c>
      <c r="J20" s="242">
        <f t="shared" si="4"/>
        <v>0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229">
        <f>'Horas trabalhadas'!H17</f>
        <v>0</v>
      </c>
      <c r="H21" s="228">
        <f t="shared" si="3"/>
        <v>0</v>
      </c>
      <c r="I21" s="228">
        <f>ROUND(H21*K!$G$23,2)</f>
        <v>0</v>
      </c>
      <c r="J21" s="242">
        <f t="shared" si="4"/>
        <v>0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229">
        <f>'Horas trabalhadas'!H18</f>
        <v>0</v>
      </c>
      <c r="H22" s="228">
        <f t="shared" si="3"/>
        <v>0</v>
      </c>
      <c r="I22" s="228">
        <f>ROUND(H22*K!$G$23,2)</f>
        <v>0</v>
      </c>
      <c r="J22" s="242">
        <f t="shared" si="4"/>
        <v>0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229">
        <f>'Horas trabalhadas'!H19</f>
        <v>0</v>
      </c>
      <c r="H23" s="228">
        <f t="shared" si="3"/>
        <v>0</v>
      </c>
      <c r="I23" s="228">
        <f>ROUND(H23*K!$G$23,2)</f>
        <v>0</v>
      </c>
      <c r="J23" s="242">
        <f t="shared" si="4"/>
        <v>0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229">
        <f>'Horas trabalhadas'!H20</f>
        <v>0</v>
      </c>
      <c r="H24" s="228">
        <f t="shared" si="3"/>
        <v>0</v>
      </c>
      <c r="I24" s="228">
        <f>ROUND(H24*K!$G$23,2)</f>
        <v>0</v>
      </c>
      <c r="J24" s="242">
        <f t="shared" si="4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20622.260000000002</v>
      </c>
      <c r="J26" s="428">
        <f>I26/$I$50</f>
        <v>0.92356190702246632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Serviços!I10</f>
        <v>0</v>
      </c>
      <c r="H29" s="228">
        <f t="shared" ref="H29:H31" si="5">ROUND(E29*G29,2)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f>Serviços!I11</f>
        <v>0</v>
      </c>
      <c r="H30" s="228">
        <f t="shared" si="5"/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f>Serviços!I12</f>
        <v>0</v>
      </c>
      <c r="H31" s="228">
        <f t="shared" si="5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SUM(I34:I37)</f>
        <v>20622.260000000002</v>
      </c>
      <c r="J33" s="443">
        <f>SUM(J35:J36)</f>
        <v>0.17324292793468599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Serviços!I15</f>
        <v>1</v>
      </c>
      <c r="H34" s="228">
        <f t="shared" ref="H34:H37" si="6">ROUND(E34*G34,2)</f>
        <v>1215.18</v>
      </c>
      <c r="I34" s="228">
        <f>ROUND(H34*K!$G$24,2)</f>
        <v>1769.57</v>
      </c>
      <c r="J34" s="242">
        <f>I34/$I$50</f>
        <v>7.924967699028844E-2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Serviços!I16</f>
        <v>0</v>
      </c>
      <c r="H35" s="228">
        <f t="shared" si="6"/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7">
        <f>Serviços!I17</f>
        <v>6</v>
      </c>
      <c r="H36" s="228">
        <f t="shared" si="6"/>
        <v>2656.44</v>
      </c>
      <c r="I36" s="228">
        <f>ROUND(H36*K!$G$24,2)</f>
        <v>3868.35</v>
      </c>
      <c r="J36" s="243">
        <f>I36/$I$50</f>
        <v>0.17324292793468599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7">
        <f>Serviços!I18</f>
        <v>75</v>
      </c>
      <c r="H37" s="228">
        <f t="shared" si="6"/>
        <v>10289.91</v>
      </c>
      <c r="I37" s="228">
        <f>ROUND(H37*K!$G$24,2)</f>
        <v>14984.34</v>
      </c>
      <c r="J37" s="243">
        <f>I37/$I$50</f>
        <v>0.67106930209749183</v>
      </c>
    </row>
    <row r="38" spans="1:10" ht="6" customHeight="1">
      <c r="A38" s="152"/>
      <c r="B38" s="152"/>
      <c r="C38" s="152"/>
      <c r="D38" s="153"/>
      <c r="E38" s="154"/>
      <c r="F38" s="177"/>
      <c r="G38" s="237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f>Serviços!I13</f>
        <v>0</v>
      </c>
      <c r="H40" s="228">
        <f t="shared" ref="H40:H41" si="7">ROUND(E40*G40,2)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f>Serviços!I14</f>
        <v>0</v>
      </c>
      <c r="H41" s="228">
        <f t="shared" si="7"/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158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3.8474543251952049E-2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3.8474543251952049E-2</v>
      </c>
    </row>
    <row r="46" spans="1:10" s="117" customFormat="1" ht="16.149999999999999" customHeight="1">
      <c r="A46" s="230"/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8">ROUND(E46*G46,2)</f>
        <v>153.91999999999999</v>
      </c>
      <c r="I46" s="228">
        <f>ROUND(H46*K!$G$25,2)</f>
        <v>191.1</v>
      </c>
      <c r="J46" s="243">
        <f>I46/$I$50</f>
        <v>8.5583578343010561E-3</v>
      </c>
    </row>
    <row r="47" spans="1:10" s="117" customFormat="1" ht="16.149999999999999" customHeight="1">
      <c r="A47" s="230"/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8"/>
        <v>98.04</v>
      </c>
      <c r="I47" s="228">
        <f>ROUND(H47*K!$G$25,2)</f>
        <v>121.72</v>
      </c>
      <c r="J47" s="243">
        <f>I47/$I$50</f>
        <v>5.4511947440665856E-3</v>
      </c>
    </row>
    <row r="48" spans="1:10" s="117" customFormat="1" ht="16.149999999999999" customHeight="1">
      <c r="A48" s="230"/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8"/>
        <v>440</v>
      </c>
      <c r="I48" s="228">
        <f>ROUND(H48*K!$G$25,2)</f>
        <v>546.28</v>
      </c>
      <c r="J48" s="243">
        <f>I48/$I$50</f>
        <v>2.4464990673584409E-2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22329.05</v>
      </c>
      <c r="J50" s="441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70FF-B678-4D4A-A004-8CCB0F41E3C7}">
  <sheetPr>
    <tabColor theme="8" tint="-0.249977111117893"/>
    <pageSetUpPr fitToPage="1"/>
  </sheetPr>
  <dimension ref="A1:L63"/>
  <sheetViews>
    <sheetView showGridLines="0" view="pageBreakPreview" topLeftCell="D1" zoomScaleNormal="100" zoomScaleSheetLayoutView="10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494</v>
      </c>
      <c r="C2" s="82" t="str">
        <f>_xlfn.CONCAT('Horas trabalhadas'!I9," PARTE 1")</f>
        <v>Estudo Ambiental PARTE 1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1881.99</v>
      </c>
      <c r="J7" s="428">
        <f>I7/$I$50</f>
        <v>0.72246684197393429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1881.99</v>
      </c>
      <c r="J9" s="444">
        <f>SUM(J10:J14)</f>
        <v>0.72246684197393429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462">
        <f>'Horas trabalhadas'!I10*0.3</f>
        <v>1.4400000000000002</v>
      </c>
      <c r="H10" s="228">
        <f>ROUND(E10*G10,2)</f>
        <v>145.80000000000001</v>
      </c>
      <c r="I10" s="228">
        <f>ROUND(H10*K!$G$22,2)</f>
        <v>360.37</v>
      </c>
      <c r="J10" s="243">
        <f>I10/$I$50</f>
        <v>0.13834046718747003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462">
        <f>'Horas trabalhadas'!I11*0.3</f>
        <v>1.714285714285714</v>
      </c>
      <c r="H11" s="228">
        <f t="shared" ref="H11:H14" si="0">ROUND(E11*G11,2)</f>
        <v>116.98</v>
      </c>
      <c r="I11" s="228">
        <f>ROUND(H11*K!$G$22,2)</f>
        <v>289.14</v>
      </c>
      <c r="J11" s="243">
        <f>I11/$I$50</f>
        <v>0.1109963722912148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462">
        <f>'Horas trabalhadas'!I12*0.3</f>
        <v>5.76</v>
      </c>
      <c r="H12" s="228">
        <f t="shared" si="0"/>
        <v>379.3</v>
      </c>
      <c r="I12" s="228">
        <f>ROUND(H12*K!$G$22,2)</f>
        <v>937.51</v>
      </c>
      <c r="J12" s="243">
        <f>I12/$I$50</f>
        <v>0.35989558340851074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462">
        <f>'Horas trabalhadas'!I13*0.3</f>
        <v>6</v>
      </c>
      <c r="H13" s="228">
        <f t="shared" ref="H13:H14" si="1">ROUND(E13*G13,2)</f>
        <v>71.16</v>
      </c>
      <c r="I13" s="228">
        <f>ROUND(H13*K!$G$22,2)</f>
        <v>175.88</v>
      </c>
      <c r="J13" s="243">
        <f t="shared" ref="J13:J14" si="2">I13/$I$50</f>
        <v>6.7517610702700626E-2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41">
        <f>'Horas trabalhadas'!I14*0.3</f>
        <v>6</v>
      </c>
      <c r="H14" s="737">
        <f t="shared" si="1"/>
        <v>48.18</v>
      </c>
      <c r="I14" s="737">
        <f>ROUND(H14*K!$G$22,2)</f>
        <v>119.09</v>
      </c>
      <c r="J14" s="738">
        <f t="shared" si="2"/>
        <v>4.5716808384038084E-2</v>
      </c>
    </row>
    <row r="15" spans="1:12" ht="6" customHeight="1">
      <c r="A15" s="152"/>
      <c r="B15" s="152"/>
      <c r="C15" s="152"/>
      <c r="D15" s="153"/>
      <c r="E15" s="154"/>
      <c r="F15" s="177"/>
      <c r="G15" s="598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599"/>
      <c r="H16" s="425"/>
      <c r="I16" s="427">
        <f>I18</f>
        <v>722.96</v>
      </c>
      <c r="J16" s="428">
        <f>I16/$I$50</f>
        <v>0.27753315802606582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600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601"/>
      <c r="H18" s="431"/>
      <c r="I18" s="432">
        <f>SUM(I19:I24)</f>
        <v>722.96</v>
      </c>
      <c r="J18" s="445">
        <f>SUM(J19:J24)</f>
        <v>0.27753315802606582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462">
        <f>'Horas trabalhadas'!I15*0.3</f>
        <v>0.52500000000000002</v>
      </c>
      <c r="H19" s="228">
        <f t="shared" ref="H19:H24" si="3">ROUND(E19*G19,2)</f>
        <v>35.56</v>
      </c>
      <c r="I19" s="228">
        <f>ROUND(H19*K!$G$23,2)</f>
        <v>60.61</v>
      </c>
      <c r="J19" s="242">
        <f t="shared" ref="J19:J24" si="4">I19/$I$50</f>
        <v>2.3267241213842878E-2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462">
        <f>'Horas trabalhadas'!I16*0.3</f>
        <v>0</v>
      </c>
      <c r="H20" s="228">
        <f t="shared" si="3"/>
        <v>0</v>
      </c>
      <c r="I20" s="228">
        <f>ROUND(H20*K!$G$23,2)</f>
        <v>0</v>
      </c>
      <c r="J20" s="242">
        <f t="shared" si="4"/>
        <v>0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462">
        <f>'Horas trabalhadas'!I17*0.3</f>
        <v>0</v>
      </c>
      <c r="H21" s="228">
        <f t="shared" si="3"/>
        <v>0</v>
      </c>
      <c r="I21" s="228">
        <f>ROUND(H21*K!$G$23,2)</f>
        <v>0</v>
      </c>
      <c r="J21" s="242">
        <f t="shared" si="4"/>
        <v>0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462">
        <f>'Horas trabalhadas'!I18*0.3</f>
        <v>0</v>
      </c>
      <c r="H22" s="228">
        <f t="shared" si="3"/>
        <v>0</v>
      </c>
      <c r="I22" s="228">
        <f>ROUND(H22*K!$G$23,2)</f>
        <v>0</v>
      </c>
      <c r="J22" s="242">
        <f t="shared" si="4"/>
        <v>0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462">
        <f>'Horas trabalhadas'!I19*0.3</f>
        <v>4.2</v>
      </c>
      <c r="H23" s="228">
        <f t="shared" si="3"/>
        <v>388.58</v>
      </c>
      <c r="I23" s="228">
        <f>ROUND(H23*K!$G$23,2)</f>
        <v>662.35</v>
      </c>
      <c r="J23" s="242">
        <f t="shared" si="4"/>
        <v>0.25426591681222294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462">
        <f>'Horas trabalhadas'!I20*0.3</f>
        <v>0</v>
      </c>
      <c r="H24" s="228">
        <f t="shared" si="3"/>
        <v>0</v>
      </c>
      <c r="I24" s="228">
        <f>ROUND(H24*K!$G$23,2)</f>
        <v>0</v>
      </c>
      <c r="J24" s="242">
        <f t="shared" si="4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0</v>
      </c>
      <c r="J26" s="428">
        <f>I26/$I$50</f>
        <v>0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Serviços!J10*0.3</f>
        <v>0</v>
      </c>
      <c r="H29" s="228">
        <f t="shared" ref="H29:H31" si="5">ROUND(E29*G29,2)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f>Serviços!J11*0.3</f>
        <v>0</v>
      </c>
      <c r="H30" s="228">
        <f t="shared" si="5"/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f>Serviços!J12*0.3</f>
        <v>0</v>
      </c>
      <c r="H31" s="228">
        <f t="shared" si="5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Serviços!J15*0.3</f>
        <v>0</v>
      </c>
      <c r="H34" s="228">
        <f t="shared" ref="H34:H37" si="6">ROUND(E34*G34,2)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Serviços!J16*0.3</f>
        <v>0</v>
      </c>
      <c r="H35" s="228">
        <f t="shared" si="6"/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7">
        <f>Serviços!J17*0.3</f>
        <v>0</v>
      </c>
      <c r="H36" s="228">
        <f t="shared" si="6"/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7">
        <f>Serviços!J18*0.3</f>
        <v>0</v>
      </c>
      <c r="H37" s="228">
        <f t="shared" si="6"/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237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f>Serviços!J13*0.3</f>
        <v>0</v>
      </c>
      <c r="H40" s="228">
        <f t="shared" ref="H40:H41" si="7">ROUND(E40*G40,2)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f>Serviços!J14*0.3</f>
        <v>0</v>
      </c>
      <c r="H41" s="228">
        <f t="shared" si="7"/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237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0</v>
      </c>
      <c r="J43" s="428">
        <f>I43/$I$50</f>
        <v>0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0</v>
      </c>
      <c r="J45" s="442">
        <f>SUM(J46:J48)</f>
        <v>0</v>
      </c>
    </row>
    <row r="46" spans="1:10" s="117" customFormat="1" ht="16.149999999999999" customHeight="1">
      <c r="A46" s="230"/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0</v>
      </c>
      <c r="H46" s="228">
        <f t="shared" ref="H46:H48" si="8">ROUND(E46*G46,2)</f>
        <v>0</v>
      </c>
      <c r="I46" s="228">
        <f>ROUND(H46*K!$G$25,2)</f>
        <v>0</v>
      </c>
      <c r="J46" s="243">
        <f>I46/$I$50</f>
        <v>0</v>
      </c>
    </row>
    <row r="47" spans="1:10" s="117" customFormat="1" ht="16.149999999999999" customHeight="1">
      <c r="A47" s="230"/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0</v>
      </c>
      <c r="H47" s="228">
        <f t="shared" si="8"/>
        <v>0</v>
      </c>
      <c r="I47" s="228">
        <f>ROUND(H47*K!$G$25,2)</f>
        <v>0</v>
      </c>
      <c r="J47" s="243">
        <f>I47/$I$50</f>
        <v>0</v>
      </c>
    </row>
    <row r="48" spans="1:10" s="117" customFormat="1" ht="16.149999999999999" customHeight="1">
      <c r="A48" s="230"/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0</v>
      </c>
      <c r="H48" s="228">
        <f t="shared" si="8"/>
        <v>0</v>
      </c>
      <c r="I48" s="228">
        <f>ROUND(H48*K!$G$25,2)</f>
        <v>0</v>
      </c>
      <c r="J48" s="243">
        <f>I48/$I$50</f>
        <v>0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2604.9499999999998</v>
      </c>
      <c r="J50" s="441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61AE9-8EAB-4E03-87E6-CB1141F7F60F}">
  <sheetPr>
    <tabColor theme="8" tint="-0.249977111117893"/>
    <pageSetUpPr fitToPage="1"/>
  </sheetPr>
  <dimension ref="A1:L63"/>
  <sheetViews>
    <sheetView showGridLines="0" view="pageBreakPreview" topLeftCell="B6" zoomScale="85" zoomScaleNormal="100" zoomScaleSheetLayoutView="85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494</v>
      </c>
      <c r="C2" s="82" t="str">
        <f>_xlfn.CONCAT('Horas trabalhadas'!I9," PARTE 2")</f>
        <v>Estudo Ambiental PARTE 2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4391.2999999999993</v>
      </c>
      <c r="J7" s="428">
        <f>I7/$I$50</f>
        <v>0.63299660387584822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4391.2999999999993</v>
      </c>
      <c r="J9" s="444">
        <f>SUM(J10:J14)</f>
        <v>0.63299660387584822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462">
        <f>'Horas trabalhadas'!I10*0.7</f>
        <v>3.3600000000000003</v>
      </c>
      <c r="H10" s="228">
        <f>ROUND(E10*G10,2)</f>
        <v>340.2</v>
      </c>
      <c r="I10" s="228">
        <f>ROUND(H10*K!$G$22,2)</f>
        <v>840.87</v>
      </c>
      <c r="J10" s="243">
        <f>I10/$I$50</f>
        <v>0.12120963138503053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462">
        <f>'Horas trabalhadas'!I11*0.7</f>
        <v>3.9999999999999991</v>
      </c>
      <c r="H11" s="228">
        <f t="shared" ref="H11:H14" si="0">ROUND(E11*G11,2)</f>
        <v>272.95999999999998</v>
      </c>
      <c r="I11" s="228">
        <f>ROUND(H11*K!$G$22,2)</f>
        <v>674.67</v>
      </c>
      <c r="J11" s="243">
        <f>I11/$I$50</f>
        <v>9.7252253031430008E-2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462">
        <f>'Horas trabalhadas'!I12*0.7</f>
        <v>13.44</v>
      </c>
      <c r="H12" s="228">
        <f t="shared" si="0"/>
        <v>885.02</v>
      </c>
      <c r="I12" s="228">
        <f>ROUND(H12*K!$G$22,2)</f>
        <v>2187.4899999999998</v>
      </c>
      <c r="J12" s="243">
        <f>I12/$I$50</f>
        <v>0.31532205520287371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462">
        <f>'Horas trabalhadas'!I13*0.7</f>
        <v>14</v>
      </c>
      <c r="H13" s="228">
        <f t="shared" ref="H13:H14" si="1">ROUND(E13*G13,2)</f>
        <v>166.04</v>
      </c>
      <c r="I13" s="228">
        <f>ROUND(H13*K!$G$22,2)</f>
        <v>410.4</v>
      </c>
      <c r="J13" s="243">
        <f t="shared" ref="J13:J14" si="2">I13/$I$50</f>
        <v>5.9158291674594798E-2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41">
        <f>'Horas trabalhadas'!I14*0.7</f>
        <v>14</v>
      </c>
      <c r="H14" s="737">
        <f t="shared" si="1"/>
        <v>112.42</v>
      </c>
      <c r="I14" s="737">
        <f>ROUND(H14*K!$G$22,2)</f>
        <v>277.87</v>
      </c>
      <c r="J14" s="738">
        <f t="shared" si="2"/>
        <v>4.0054372581919247E-2</v>
      </c>
    </row>
    <row r="15" spans="1:12" ht="6" customHeight="1">
      <c r="A15" s="152"/>
      <c r="B15" s="152"/>
      <c r="C15" s="152"/>
      <c r="D15" s="153"/>
      <c r="E15" s="154"/>
      <c r="F15" s="177"/>
      <c r="G15" s="598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599"/>
      <c r="H16" s="425"/>
      <c r="I16" s="427">
        <f>I18</f>
        <v>1686.92</v>
      </c>
      <c r="J16" s="428">
        <f>I16/$I$50</f>
        <v>0.2431659488102034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600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601"/>
      <c r="H18" s="431"/>
      <c r="I18" s="432">
        <f>SUM(I19:I24)</f>
        <v>1686.92</v>
      </c>
      <c r="J18" s="445">
        <f>SUM(J19:J24)</f>
        <v>0.24316594881020337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462">
        <f>'Horas trabalhadas'!I15*0.7</f>
        <v>1.2249999999999999</v>
      </c>
      <c r="H19" s="228">
        <f t="shared" ref="H19:H24" si="3">ROUND(E19*G19,2)</f>
        <v>82.97</v>
      </c>
      <c r="I19" s="228">
        <f>ROUND(H19*K!$G$23,2)</f>
        <v>141.41999999999999</v>
      </c>
      <c r="J19" s="242">
        <f t="shared" ref="J19:J24" si="4">I19/$I$50</f>
        <v>2.0385393783190049E-2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462">
        <f>'Horas trabalhadas'!I16*0.7</f>
        <v>0</v>
      </c>
      <c r="H20" s="228">
        <f t="shared" si="3"/>
        <v>0</v>
      </c>
      <c r="I20" s="228">
        <f>ROUND(H20*K!$G$23,2)</f>
        <v>0</v>
      </c>
      <c r="J20" s="242">
        <f t="shared" si="4"/>
        <v>0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462">
        <f>'Horas trabalhadas'!I17*0.7</f>
        <v>0</v>
      </c>
      <c r="H21" s="228">
        <f t="shared" si="3"/>
        <v>0</v>
      </c>
      <c r="I21" s="228">
        <f>ROUND(H21*K!$G$23,2)</f>
        <v>0</v>
      </c>
      <c r="J21" s="242">
        <f t="shared" si="4"/>
        <v>0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462">
        <f>'Horas trabalhadas'!I18*0.7</f>
        <v>0</v>
      </c>
      <c r="H22" s="228">
        <f t="shared" si="3"/>
        <v>0</v>
      </c>
      <c r="I22" s="228">
        <f>ROUND(H22*K!$G$23,2)</f>
        <v>0</v>
      </c>
      <c r="J22" s="242">
        <f t="shared" si="4"/>
        <v>0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462">
        <f>'Horas trabalhadas'!I19*0.7</f>
        <v>9.7999999999999989</v>
      </c>
      <c r="H23" s="228">
        <f t="shared" si="3"/>
        <v>906.7</v>
      </c>
      <c r="I23" s="228">
        <f>ROUND(H23*K!$G$23,2)</f>
        <v>1545.5</v>
      </c>
      <c r="J23" s="242">
        <f t="shared" si="4"/>
        <v>0.22278055502701333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462">
        <f>'Horas trabalhadas'!I20*0.7</f>
        <v>0</v>
      </c>
      <c r="H24" s="228">
        <f t="shared" si="3"/>
        <v>0</v>
      </c>
      <c r="I24" s="228">
        <f>ROUND(H24*K!$G$23,2)</f>
        <v>0</v>
      </c>
      <c r="J24" s="242">
        <f t="shared" si="4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0</v>
      </c>
      <c r="J26" s="428">
        <f>I26/$I$50</f>
        <v>0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Serviços!J10</f>
        <v>0</v>
      </c>
      <c r="H29" s="228">
        <f t="shared" ref="H29:H31" si="5">ROUND(E29*G29,2)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f>Serviços!J11</f>
        <v>0</v>
      </c>
      <c r="H30" s="228">
        <f t="shared" si="5"/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f>Serviços!J12</f>
        <v>0</v>
      </c>
      <c r="H31" s="228">
        <f t="shared" si="5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Serviços!J15</f>
        <v>0</v>
      </c>
      <c r="H34" s="228">
        <f t="shared" ref="H34:H37" si="6">ROUND(E34*G34,2)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Serviços!J16</f>
        <v>0</v>
      </c>
      <c r="H35" s="228">
        <f t="shared" si="6"/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7">
        <f>Serviços!J17</f>
        <v>0</v>
      </c>
      <c r="H36" s="228">
        <f t="shared" si="6"/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7">
        <f>Serviços!J18</f>
        <v>0</v>
      </c>
      <c r="H37" s="228">
        <f t="shared" si="6"/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237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f>Serviços!J13</f>
        <v>0</v>
      </c>
      <c r="H40" s="228">
        <f t="shared" ref="H40:H41" si="7">ROUND(E40*G40,2)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f>Serviços!J14</f>
        <v>0</v>
      </c>
      <c r="H41" s="228">
        <f t="shared" si="7"/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237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0.12383744731394832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0.12383744731394833</v>
      </c>
    </row>
    <row r="46" spans="1:10" s="117" customFormat="1" ht="16.149999999999999" customHeight="1">
      <c r="A46" s="230"/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8">ROUND(E46*G46,2)</f>
        <v>153.91999999999999</v>
      </c>
      <c r="I46" s="228">
        <f>ROUND(H46*K!$G$25,2)</f>
        <v>191.1</v>
      </c>
      <c r="J46" s="243">
        <f>I46/$I$50</f>
        <v>2.7546660670114683E-2</v>
      </c>
    </row>
    <row r="47" spans="1:10" s="117" customFormat="1" ht="16.149999999999999" customHeight="1">
      <c r="A47" s="230"/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8"/>
        <v>98.04</v>
      </c>
      <c r="I47" s="228">
        <f>ROUND(H47*K!$G$25,2)</f>
        <v>121.72</v>
      </c>
      <c r="J47" s="243">
        <f>I47/$I$50</f>
        <v>1.7545680464502143E-2</v>
      </c>
    </row>
    <row r="48" spans="1:10" s="117" customFormat="1" ht="16.149999999999999" customHeight="1">
      <c r="A48" s="230"/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8"/>
        <v>440</v>
      </c>
      <c r="I48" s="228">
        <f>ROUND(H48*K!$G$25,2)</f>
        <v>546.28</v>
      </c>
      <c r="J48" s="243">
        <f>I48/$I$50</f>
        <v>7.8745106179331503E-2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6937.32</v>
      </c>
      <c r="J50" s="441">
        <f>J7+J16+J26+J43</f>
        <v>0.99999999999999989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F406-D070-4E58-8F53-38083CFFAAF4}">
  <sheetPr>
    <tabColor theme="8" tint="-0.249977111117893"/>
    <pageSetUpPr fitToPage="1"/>
  </sheetPr>
  <dimension ref="A1:L63"/>
  <sheetViews>
    <sheetView showGridLines="0" view="pageBreakPreview" topLeftCell="B12" zoomScale="85" zoomScaleNormal="100" zoomScaleSheetLayoutView="85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">
        <v>170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495</v>
      </c>
      <c r="C2" s="82" t="str">
        <f>'Horas trabalhadas'!J9</f>
        <v>Projeto Executivo</v>
      </c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22558.420000000002</v>
      </c>
      <c r="J7" s="428">
        <f>I7/$I$50</f>
        <v>0.75939190531173939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22558.420000000002</v>
      </c>
      <c r="J9" s="444">
        <f>SUM(J10:J14)</f>
        <v>0.75939190531173939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234">
        <f>'Horas trabalhadas'!J10</f>
        <v>14.399999999999999</v>
      </c>
      <c r="H10" s="228">
        <f>ROUND(E10*G10,2)</f>
        <v>1458</v>
      </c>
      <c r="I10" s="228">
        <f>ROUND(H10*K!$G$22,2)</f>
        <v>3603.71</v>
      </c>
      <c r="J10" s="243">
        <f>I10/$I$50</f>
        <v>0.12131293783389831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234">
        <f>'Horas trabalhadas'!J11</f>
        <v>57.142857142857146</v>
      </c>
      <c r="H11" s="228">
        <f t="shared" ref="H11:H14" si="0">ROUND(E11*G11,2)</f>
        <v>3899.43</v>
      </c>
      <c r="I11" s="228">
        <f>ROUND(H11*K!$G$22,2)</f>
        <v>9638.15</v>
      </c>
      <c r="J11" s="243">
        <f>I11/$I$50</f>
        <v>0.32445238151343669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234">
        <f>'Horas trabalhadas'!J12</f>
        <v>51.2</v>
      </c>
      <c r="H12" s="228">
        <f t="shared" si="0"/>
        <v>3371.52</v>
      </c>
      <c r="I12" s="228">
        <f>ROUND(H12*K!$G$22,2)</f>
        <v>8333.33</v>
      </c>
      <c r="J12" s="243">
        <f>I12/$I$50</f>
        <v>0.28052777394389666</v>
      </c>
    </row>
    <row r="13" spans="1:12" s="117" customFormat="1" ht="16.149999999999999" customHeight="1">
      <c r="A13" s="234"/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234">
        <f>'Horas trabalhadas'!J13</f>
        <v>20</v>
      </c>
      <c r="H13" s="228">
        <f t="shared" ref="H13:H14" si="1">ROUND(E13*G13,2)</f>
        <v>237.2</v>
      </c>
      <c r="I13" s="228">
        <f>ROUND(H13*K!$G$22,2)</f>
        <v>586.28</v>
      </c>
      <c r="J13" s="243">
        <f t="shared" ref="J13:J14" si="2">I13/$I$50</f>
        <v>1.9736146691398004E-2</v>
      </c>
    </row>
    <row r="14" spans="1:12" s="739" customFormat="1" ht="16.149999999999999" customHeight="1">
      <c r="A14" s="732" t="s">
        <v>191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32">
        <f>'Horas trabalhadas'!J14</f>
        <v>20</v>
      </c>
      <c r="H14" s="737">
        <f t="shared" si="1"/>
        <v>160.6</v>
      </c>
      <c r="I14" s="737">
        <f>ROUND(H14*K!$G$22,2)</f>
        <v>396.95</v>
      </c>
      <c r="J14" s="738">
        <f t="shared" si="2"/>
        <v>1.3362665329109704E-2</v>
      </c>
    </row>
    <row r="15" spans="1:12" ht="6" customHeight="1">
      <c r="A15" s="152"/>
      <c r="B15" s="152"/>
      <c r="C15" s="152"/>
      <c r="D15" s="153"/>
      <c r="E15" s="154"/>
      <c r="F15" s="177"/>
      <c r="G15" s="156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425"/>
      <c r="H16" s="425"/>
      <c r="I16" s="427">
        <f>I18</f>
        <v>6288.38</v>
      </c>
      <c r="J16" s="428">
        <f>I16/$I$50</f>
        <v>0.21168791384876404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158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430"/>
      <c r="H18" s="431"/>
      <c r="I18" s="432">
        <f>SUM(I19:I24)</f>
        <v>6288.38</v>
      </c>
      <c r="J18" s="445">
        <f>SUM(J19:J24)</f>
        <v>0.21168791384876406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234">
        <f>'Horas trabalhadas'!J15</f>
        <v>1.75</v>
      </c>
      <c r="H19" s="228">
        <f t="shared" ref="H19:H24" si="3">ROUND(E19*G19,2)</f>
        <v>118.53</v>
      </c>
      <c r="I19" s="228">
        <f>ROUND(H19*K!$G$23,2)</f>
        <v>202.04</v>
      </c>
      <c r="J19" s="242">
        <f t="shared" ref="J19:J24" si="4">I19/$I$50</f>
        <v>6.8013424942519832E-3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234">
        <f>'Horas trabalhadas'!J16</f>
        <v>11.200000000000001</v>
      </c>
      <c r="H20" s="228">
        <f t="shared" si="3"/>
        <v>1142.6199999999999</v>
      </c>
      <c r="I20" s="228">
        <f>ROUND(H20*K!$G$23,2)</f>
        <v>1947.63</v>
      </c>
      <c r="J20" s="242">
        <f t="shared" si="4"/>
        <v>6.5563743229459473E-2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234">
        <f>'Horas trabalhadas'!J17</f>
        <v>12.6</v>
      </c>
      <c r="H21" s="228">
        <f t="shared" si="3"/>
        <v>1285.45</v>
      </c>
      <c r="I21" s="228">
        <f>ROUND(H21*K!$G$23,2)</f>
        <v>2191.08</v>
      </c>
      <c r="J21" s="242">
        <f t="shared" si="4"/>
        <v>7.375908489559313E-2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234">
        <f>'Horas trabalhadas'!J18</f>
        <v>11.200000000000001</v>
      </c>
      <c r="H22" s="228">
        <f t="shared" si="3"/>
        <v>1142.6199999999999</v>
      </c>
      <c r="I22" s="228">
        <f>ROUND(H22*K!$G$23,2)</f>
        <v>1947.63</v>
      </c>
      <c r="J22" s="242">
        <f t="shared" si="4"/>
        <v>6.5563743229459473E-2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234">
        <f>'Horas trabalhadas'!J19</f>
        <v>0</v>
      </c>
      <c r="H23" s="228">
        <f t="shared" si="3"/>
        <v>0</v>
      </c>
      <c r="I23" s="228">
        <f>ROUND(H23*K!$G$23,2)</f>
        <v>0</v>
      </c>
      <c r="J23" s="242">
        <f t="shared" si="4"/>
        <v>0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234">
        <f>'Horas trabalhadas'!J20</f>
        <v>0</v>
      </c>
      <c r="H24" s="228">
        <f t="shared" si="3"/>
        <v>0</v>
      </c>
      <c r="I24" s="228">
        <f>ROUND(H24*K!$G$23,2)</f>
        <v>0</v>
      </c>
      <c r="J24" s="242">
        <f t="shared" si="4"/>
        <v>0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156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174"/>
      <c r="H26" s="174"/>
      <c r="I26" s="439">
        <f>I28+I33+I39</f>
        <v>0</v>
      </c>
      <c r="J26" s="428">
        <f>I26/$I$50</f>
        <v>0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158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171"/>
      <c r="H28" s="171"/>
      <c r="I28" s="440">
        <f>SUM(I29:I31)</f>
        <v>0</v>
      </c>
      <c r="J28" s="444">
        <f>SUM(J29:J31)</f>
        <v>0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237">
        <f>Serviços!K10</f>
        <v>0</v>
      </c>
      <c r="H29" s="228">
        <f t="shared" ref="H29:H31" si="5">ROUND(E29*G29,2)</f>
        <v>0</v>
      </c>
      <c r="I29" s="228">
        <f>ROUND(H29*K!$G$24,2)</f>
        <v>0</v>
      </c>
      <c r="J29" s="243">
        <f>I29/$I$50</f>
        <v>0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237">
        <f>Serviços!K11</f>
        <v>0</v>
      </c>
      <c r="H30" s="228">
        <f t="shared" si="5"/>
        <v>0</v>
      </c>
      <c r="I30" s="228">
        <f>ROUND(H30*K!$G$24,2)</f>
        <v>0</v>
      </c>
      <c r="J30" s="243">
        <f>I30/$I$50</f>
        <v>0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237">
        <f>Serviços!K12</f>
        <v>0</v>
      </c>
      <c r="H31" s="228">
        <f t="shared" si="5"/>
        <v>0</v>
      </c>
      <c r="I31" s="228">
        <f>ROUND(H31*K!$G$24,2)</f>
        <v>0</v>
      </c>
      <c r="J31" s="243">
        <f>I31/$I$50</f>
        <v>0</v>
      </c>
    </row>
    <row r="32" spans="1:12" ht="10.5" customHeight="1">
      <c r="A32" s="159"/>
      <c r="B32" s="160"/>
      <c r="C32" s="161"/>
      <c r="D32" s="162"/>
      <c r="E32" s="157"/>
      <c r="F32" s="296"/>
      <c r="G32" s="158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149"/>
      <c r="H33" s="149"/>
      <c r="I33" s="164">
        <f>SUM(I35:I36)</f>
        <v>0</v>
      </c>
      <c r="J33" s="443">
        <f>SUM(J35:J36)</f>
        <v>0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237">
        <f>Serviços!K15</f>
        <v>0</v>
      </c>
      <c r="H34" s="228">
        <f t="shared" ref="H34:H37" si="6">ROUND(E34*G34,2)</f>
        <v>0</v>
      </c>
      <c r="I34" s="228">
        <f>ROUND(H34*K!$G$24,2)</f>
        <v>0</v>
      </c>
      <c r="J34" s="242">
        <f>I34/$I$50</f>
        <v>0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237">
        <f>Serviços!K16</f>
        <v>0</v>
      </c>
      <c r="H35" s="228">
        <f t="shared" si="6"/>
        <v>0</v>
      </c>
      <c r="I35" s="228">
        <f>ROUND(H35*K!$G$24,2)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237">
        <f>Serviços!K17</f>
        <v>0</v>
      </c>
      <c r="H36" s="228">
        <f t="shared" si="6"/>
        <v>0</v>
      </c>
      <c r="I36" s="228">
        <f>ROUND(H36*K!$G$24,2)</f>
        <v>0</v>
      </c>
      <c r="J36" s="243">
        <f>I36/$I$50</f>
        <v>0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237">
        <f>Serviços!K18</f>
        <v>0</v>
      </c>
      <c r="H37" s="228">
        <f t="shared" si="6"/>
        <v>0</v>
      </c>
      <c r="I37" s="228">
        <f>ROUND(H37*K!$G$24,2)</f>
        <v>0</v>
      </c>
      <c r="J37" s="243">
        <f>I37/$I$50</f>
        <v>0</v>
      </c>
    </row>
    <row r="38" spans="1:10" ht="6" customHeight="1">
      <c r="A38" s="152"/>
      <c r="B38" s="152"/>
      <c r="C38" s="152"/>
      <c r="D38" s="153"/>
      <c r="E38" s="154"/>
      <c r="F38" s="177"/>
      <c r="G38" s="237"/>
      <c r="H38" s="155"/>
      <c r="I38" s="155"/>
      <c r="J38" s="186"/>
    </row>
    <row r="39" spans="1:10" s="116" customFormat="1" ht="18" customHeight="1">
      <c r="A39" s="148" t="s">
        <v>61</v>
      </c>
      <c r="B39" s="163" t="s">
        <v>222</v>
      </c>
      <c r="C39" s="163"/>
      <c r="D39" s="163"/>
      <c r="E39" s="150"/>
      <c r="F39" s="148"/>
      <c r="G39" s="149"/>
      <c r="H39" s="149"/>
      <c r="I39" s="164">
        <f>SUM(I40:I41)</f>
        <v>0</v>
      </c>
      <c r="J39" s="443">
        <f>SUM(J40:J41)</f>
        <v>0</v>
      </c>
    </row>
    <row r="40" spans="1:10" s="117" customFormat="1" ht="21" customHeigh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237">
        <f>Serviços!K13</f>
        <v>0</v>
      </c>
      <c r="H40" s="228">
        <f t="shared" ref="H40:H41" si="7">ROUND(E40*G40,2)</f>
        <v>0</v>
      </c>
      <c r="I40" s="228">
        <f>ROUND(H40*K!$G$24,2)</f>
        <v>0</v>
      </c>
      <c r="J40" s="243">
        <f>I40/$I$50</f>
        <v>0</v>
      </c>
    </row>
    <row r="41" spans="1:10" s="117" customFormat="1" ht="23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237">
        <f>Serviços!K14</f>
        <v>0</v>
      </c>
      <c r="H41" s="228">
        <f t="shared" si="7"/>
        <v>0</v>
      </c>
      <c r="I41" s="228">
        <f>ROUND(H41*K!$G$24,2)</f>
        <v>0</v>
      </c>
      <c r="J41" s="242">
        <f>I41/$I$50</f>
        <v>0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158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174"/>
      <c r="H43" s="174"/>
      <c r="I43" s="439">
        <f>I45</f>
        <v>859.09999999999991</v>
      </c>
      <c r="J43" s="428">
        <f>I43/$I$50</f>
        <v>2.8920180839496528E-2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158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149"/>
      <c r="H45" s="149"/>
      <c r="I45" s="169">
        <f>SUM(I46:I48)</f>
        <v>859.09999999999991</v>
      </c>
      <c r="J45" s="442">
        <f>SUM(J46:J48)</f>
        <v>2.8920180839496528E-2</v>
      </c>
    </row>
    <row r="46" spans="1:10" s="117" customFormat="1" ht="16.149999999999999" customHeight="1">
      <c r="A46" s="230"/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296">
        <v>2</v>
      </c>
      <c r="H46" s="228">
        <f t="shared" ref="H46:H48" si="8">ROUND(E46*G46,2)</f>
        <v>153.91999999999999</v>
      </c>
      <c r="I46" s="228">
        <f>ROUND(H46*K!$G$25,2)</f>
        <v>191.1</v>
      </c>
      <c r="J46" s="243">
        <f>I46/$I$50</f>
        <v>6.4330654853076317E-3</v>
      </c>
    </row>
    <row r="47" spans="1:10" s="117" customFormat="1" ht="16.149999999999999" customHeight="1">
      <c r="A47" s="230"/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296">
        <v>4</v>
      </c>
      <c r="H47" s="228">
        <f t="shared" si="8"/>
        <v>98.04</v>
      </c>
      <c r="I47" s="228">
        <f>ROUND(H47*K!$G$25,2)</f>
        <v>121.72</v>
      </c>
      <c r="J47" s="243">
        <f>I47/$I$50</f>
        <v>4.097502516335139E-3</v>
      </c>
    </row>
    <row r="48" spans="1:10" s="117" customFormat="1" ht="16.149999999999999" customHeight="1">
      <c r="A48" s="230"/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296">
        <v>2</v>
      </c>
      <c r="H48" s="228">
        <f t="shared" si="8"/>
        <v>440</v>
      </c>
      <c r="I48" s="228">
        <f>ROUND(H48*K!$G$25,2)</f>
        <v>546.28</v>
      </c>
      <c r="J48" s="243">
        <f>I48/$I$50</f>
        <v>1.8389612837853758E-2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29705.9</v>
      </c>
      <c r="J50" s="441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48CE-5F24-4742-AA8C-18B894B85C39}">
  <sheetPr>
    <tabColor theme="8" tint="-0.249977111117893"/>
    <pageSetUpPr fitToPage="1"/>
  </sheetPr>
  <dimension ref="A1:L63"/>
  <sheetViews>
    <sheetView showGridLines="0" tabSelected="1" view="pageBreakPreview" zoomScale="85" zoomScaleNormal="100" zoomScaleSheetLayoutView="85" workbookViewId="0">
      <selection activeCell="M53" sqref="M53"/>
    </sheetView>
  </sheetViews>
  <sheetFormatPr defaultColWidth="9.140625" defaultRowHeight="15.75"/>
  <cols>
    <col min="1" max="1" width="5" style="80" customWidth="1"/>
    <col min="2" max="2" width="11" style="80" customWidth="1"/>
    <col min="3" max="3" width="13.85546875" style="80" customWidth="1"/>
    <col min="4" max="4" width="43.140625" style="80" customWidth="1"/>
    <col min="5" max="5" width="9.2851562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0" t="str">
        <f>'P1'!C1:J1</f>
        <v xml:space="preserve">ORÇAMENTO PARA ELABORAÇÃO DE PROJETO DE SISTEMA DE ESGOTAMENTO SANITÁRIO </v>
      </c>
      <c r="D1" s="710"/>
      <c r="E1" s="710"/>
      <c r="F1" s="710"/>
      <c r="G1" s="710"/>
      <c r="H1" s="710"/>
      <c r="I1" s="710"/>
      <c r="J1" s="710"/>
    </row>
    <row r="2" spans="1:12" s="116" customFormat="1" ht="15" customHeight="1">
      <c r="A2" s="79" t="s">
        <v>496</v>
      </c>
      <c r="C2" s="82"/>
      <c r="E2" s="126"/>
      <c r="F2" s="176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6"/>
      <c r="J3" s="126"/>
    </row>
    <row r="4" spans="1:12" s="116" customFormat="1" ht="15" customHeight="1">
      <c r="A4" s="79" t="s">
        <v>136</v>
      </c>
      <c r="C4" s="82" t="str">
        <f>Município!B6</f>
        <v>São Sebastião do Rio Preto/MG</v>
      </c>
      <c r="E4" s="126"/>
      <c r="F4" s="176"/>
      <c r="I4" s="114"/>
      <c r="J4" s="113"/>
    </row>
    <row r="5" spans="1:12" ht="6" customHeight="1">
      <c r="A5" s="152"/>
      <c r="B5" s="152"/>
      <c r="C5" s="152"/>
      <c r="D5" s="153"/>
      <c r="E5" s="154"/>
      <c r="F5" s="177"/>
      <c r="G5" s="156"/>
      <c r="H5" s="155"/>
      <c r="I5" s="155"/>
      <c r="J5" s="186"/>
    </row>
    <row r="6" spans="1:12" s="128" customFormat="1" ht="47.45" customHeight="1">
      <c r="A6" s="420" t="s">
        <v>471</v>
      </c>
      <c r="B6" s="420" t="s">
        <v>10</v>
      </c>
      <c r="C6" s="420" t="s">
        <v>472</v>
      </c>
      <c r="D6" s="421" t="s">
        <v>473</v>
      </c>
      <c r="E6" s="711" t="s">
        <v>474</v>
      </c>
      <c r="F6" s="711"/>
      <c r="G6" s="422" t="s">
        <v>475</v>
      </c>
      <c r="H6" s="423" t="s">
        <v>476</v>
      </c>
      <c r="I6" s="423" t="s">
        <v>477</v>
      </c>
      <c r="J6" s="423" t="s">
        <v>478</v>
      </c>
    </row>
    <row r="7" spans="1:12" s="116" customFormat="1" ht="18" customHeight="1">
      <c r="A7" s="424">
        <v>1</v>
      </c>
      <c r="B7" s="425" t="s">
        <v>479</v>
      </c>
      <c r="C7" s="425"/>
      <c r="D7" s="425"/>
      <c r="E7" s="426"/>
      <c r="F7" s="424"/>
      <c r="G7" s="425"/>
      <c r="H7" s="425"/>
      <c r="I7" s="427">
        <f>I9</f>
        <v>79746.080000000002</v>
      </c>
      <c r="J7" s="428">
        <f>I7/$I$50</f>
        <v>0.48829593547588324</v>
      </c>
    </row>
    <row r="8" spans="1:12" ht="6" customHeight="1">
      <c r="A8" s="152"/>
      <c r="B8" s="152"/>
      <c r="C8" s="152"/>
      <c r="D8" s="153"/>
      <c r="E8" s="154"/>
      <c r="F8" s="177"/>
      <c r="G8" s="156"/>
      <c r="H8" s="155"/>
      <c r="I8" s="155"/>
      <c r="J8" s="186"/>
    </row>
    <row r="9" spans="1:12" s="116" customFormat="1" ht="18" customHeight="1">
      <c r="A9" s="170" t="s">
        <v>29</v>
      </c>
      <c r="B9" s="171" t="s">
        <v>179</v>
      </c>
      <c r="C9" s="171"/>
      <c r="D9" s="171"/>
      <c r="E9" s="172"/>
      <c r="F9" s="170"/>
      <c r="G9" s="171"/>
      <c r="H9" s="171"/>
      <c r="I9" s="440">
        <f>SUM(I10:I14)</f>
        <v>79746.080000000002</v>
      </c>
      <c r="J9" s="444">
        <f>SUM(J10:J14)</f>
        <v>0.48829593547588318</v>
      </c>
    </row>
    <row r="10" spans="1:12" s="117" customFormat="1" ht="16.149999999999999" customHeight="1">
      <c r="A10" s="234" t="s">
        <v>180</v>
      </c>
      <c r="B10" s="225" t="str">
        <f>Custos!E13</f>
        <v>P8061</v>
      </c>
      <c r="C10" s="226" t="str">
        <f>Custos!$D$13</f>
        <v>DNIT</v>
      </c>
      <c r="D10" s="227" t="str">
        <f>Custos!B13</f>
        <v>Engenheiro Coordenador</v>
      </c>
      <c r="E10" s="228">
        <f>Custos!J13</f>
        <v>101.25</v>
      </c>
      <c r="F10" s="226" t="s">
        <v>184</v>
      </c>
      <c r="G10" s="593">
        <f>ROUND(('P1'!G10+'P2'!G10+'P3'!G10+'P4'!G10+'P5'!G10+'P6'!G10+P7a!G10+P7b!G10+'P8'!G10),2)</f>
        <v>58</v>
      </c>
      <c r="H10" s="228">
        <f>E10*G10</f>
        <v>5872.5</v>
      </c>
      <c r="I10" s="228">
        <f>ROUND(('P1'!I10+'P2'!I10+'P3'!I10+'P4'!I10+'P5'!I10+'P6'!I10+P7a!I10+P7b!I10+'P8'!I10),2)</f>
        <v>14514.95</v>
      </c>
      <c r="J10" s="243">
        <f>I10/$I$50</f>
        <v>8.8876984155655953E-2</v>
      </c>
    </row>
    <row r="11" spans="1:12" s="117" customFormat="1" ht="16.149999999999999" customHeight="1">
      <c r="A11" s="234" t="s">
        <v>185</v>
      </c>
      <c r="B11" s="231" t="str">
        <f>Custos!E14</f>
        <v>P8066</v>
      </c>
      <c r="C11" s="232" t="str">
        <f>Custos!D14</f>
        <v>DNIT</v>
      </c>
      <c r="D11" s="227" t="str">
        <f>Custos!B14</f>
        <v>Engenheiro de Projetos Pleno</v>
      </c>
      <c r="E11" s="233">
        <f>Custos!J14</f>
        <v>68.239999999999995</v>
      </c>
      <c r="F11" s="232" t="s">
        <v>184</v>
      </c>
      <c r="G11" s="593">
        <f>ROUND(('P1'!G11+'P2'!G11+'P3'!G11+'P4'!G11+'P5'!G11+'P6'!G11+P7a!G11+P7b!G11+'P8'!G11),2)</f>
        <v>170</v>
      </c>
      <c r="H11" s="228">
        <f>E11*G11</f>
        <v>11600.8</v>
      </c>
      <c r="I11" s="228">
        <f>ROUND(('P1'!I11+'P2'!I11+'P3'!I11+'P4'!I11+'P5'!I11+'P6'!I11+P7a!I11+P7b!I11+'P8'!I11),2)</f>
        <v>28673.5</v>
      </c>
      <c r="J11" s="243">
        <f>I11/$I$50</f>
        <v>0.17557168334628784</v>
      </c>
      <c r="L11" s="118"/>
    </row>
    <row r="12" spans="1:12" s="117" customFormat="1" ht="16.149999999999999" customHeight="1">
      <c r="A12" s="234" t="s">
        <v>188</v>
      </c>
      <c r="B12" s="231" t="str">
        <f>Custos!E15</f>
        <v>P8065</v>
      </c>
      <c r="C12" s="232" t="str">
        <f>Custos!D15</f>
        <v>DNIT</v>
      </c>
      <c r="D12" s="227" t="str">
        <f>Custos!B15</f>
        <v>Engenheiro de Projetos Júnior</v>
      </c>
      <c r="E12" s="233">
        <f>Custos!J15</f>
        <v>65.849999999999994</v>
      </c>
      <c r="F12" s="232" t="s">
        <v>184</v>
      </c>
      <c r="G12" s="593">
        <f>ROUND(('P1'!G12+'P2'!G12+'P3'!G12+'P4'!G12+'P5'!G12+'P6'!G12+P7a!G12+P7b!G12+'P8'!G12),2)</f>
        <v>192</v>
      </c>
      <c r="H12" s="228">
        <f>E12*G12</f>
        <v>12643.199999999999</v>
      </c>
      <c r="I12" s="228">
        <f>ROUND(('P1'!I12+'P2'!I12+'P3'!I12+'P4'!I12+'P5'!I12+'P6'!I12+P7a!I12+P7b!I12+'P8'!I12),2)</f>
        <v>31249.99</v>
      </c>
      <c r="J12" s="243">
        <f>I12/$I$50</f>
        <v>0.19134787691961783</v>
      </c>
    </row>
    <row r="13" spans="1:12" s="117" customFormat="1" ht="16.149999999999999" customHeight="1">
      <c r="A13" s="234" t="s">
        <v>191</v>
      </c>
      <c r="B13" s="231" t="str">
        <f>Custos!E16</f>
        <v>P8155</v>
      </c>
      <c r="C13" s="232" t="str">
        <f>Custos!D16</f>
        <v>DNIT</v>
      </c>
      <c r="D13" s="227" t="str">
        <f>Custos!B16</f>
        <v>Técnico Cadista</v>
      </c>
      <c r="E13" s="233">
        <f>Custos!J16</f>
        <v>11.86</v>
      </c>
      <c r="F13" s="232" t="s">
        <v>184</v>
      </c>
      <c r="G13" s="593">
        <f>ROUND(('P1'!G13+'P2'!G13+'P3'!G13+'P4'!G13+'P5'!G13+'P6'!G13+P7a!G13+P7b!G13+'P8'!G13),2)</f>
        <v>112</v>
      </c>
      <c r="H13" s="228">
        <f t="shared" ref="H13:H14" si="0">E13*G13</f>
        <v>1328.32</v>
      </c>
      <c r="I13" s="228">
        <f>ROUND(('P1'!I13+'P2'!I13+'P3'!I13+'P4'!I13+'P5'!I13+'P6'!I13+P7a!I13+P7b!I13+'P8'!I13),2)</f>
        <v>3283.18</v>
      </c>
      <c r="J13" s="243">
        <f t="shared" ref="J13:J14" si="1">I13/$I$50</f>
        <v>2.0103351154510795E-2</v>
      </c>
    </row>
    <row r="14" spans="1:12" s="739" customFormat="1" ht="16.149999999999999" customHeight="1">
      <c r="A14" s="732" t="s">
        <v>202</v>
      </c>
      <c r="B14" s="733" t="str">
        <f>Custos!E17</f>
        <v>P8026</v>
      </c>
      <c r="C14" s="734" t="str">
        <f>Custos!D17</f>
        <v>DNIT</v>
      </c>
      <c r="D14" s="735" t="str">
        <f>Custos!B17</f>
        <v>Auxiliar Administrativo</v>
      </c>
      <c r="E14" s="736">
        <f>Custos!J17</f>
        <v>8.0299999999999994</v>
      </c>
      <c r="F14" s="734" t="s">
        <v>184</v>
      </c>
      <c r="G14" s="740">
        <f>ROUND(('P1'!G14+'P2'!G14+'P3'!G14+'P4'!G14+'P5'!G14+'P6'!G14+P7a!G14+P7b!G14+'P8'!G14),2)</f>
        <v>102</v>
      </c>
      <c r="H14" s="737">
        <f t="shared" si="0"/>
        <v>819.06</v>
      </c>
      <c r="I14" s="737">
        <f>ROUND(('P1'!I14+'P2'!I14+'P3'!I14+'P4'!I14+'P5'!I14+'P6'!I14+P7a!I14+P7b!I14+'P8'!I14),2)</f>
        <v>2024.46</v>
      </c>
      <c r="J14" s="738">
        <f t="shared" si="1"/>
        <v>1.2396039899810833E-2</v>
      </c>
    </row>
    <row r="15" spans="1:12" ht="6" customHeight="1">
      <c r="A15" s="152"/>
      <c r="B15" s="152"/>
      <c r="C15" s="152"/>
      <c r="D15" s="153"/>
      <c r="E15" s="154"/>
      <c r="F15" s="177"/>
      <c r="G15" s="594"/>
      <c r="H15" s="155"/>
      <c r="I15" s="155"/>
      <c r="J15" s="186"/>
    </row>
    <row r="16" spans="1:12" s="116" customFormat="1" ht="18" customHeight="1">
      <c r="A16" s="424">
        <v>2</v>
      </c>
      <c r="B16" s="425" t="s">
        <v>195</v>
      </c>
      <c r="C16" s="425"/>
      <c r="D16" s="425"/>
      <c r="E16" s="426"/>
      <c r="F16" s="424"/>
      <c r="G16" s="595"/>
      <c r="H16" s="425"/>
      <c r="I16" s="427">
        <f>I18</f>
        <v>11955.470000000001</v>
      </c>
      <c r="J16" s="428">
        <f>I16/$I$50</f>
        <v>7.3204945092020302E-2</v>
      </c>
    </row>
    <row r="17" spans="1:12" ht="5.0999999999999996" customHeight="1">
      <c r="A17" s="159"/>
      <c r="B17" s="160"/>
      <c r="C17" s="161"/>
      <c r="D17" s="162"/>
      <c r="E17" s="157"/>
      <c r="F17" s="151"/>
      <c r="G17" s="596"/>
      <c r="H17" s="151"/>
      <c r="I17" s="151"/>
      <c r="J17" s="185"/>
    </row>
    <row r="18" spans="1:12" s="116" customFormat="1" ht="18" customHeight="1">
      <c r="A18" s="429" t="s">
        <v>47</v>
      </c>
      <c r="B18" s="430" t="s">
        <v>195</v>
      </c>
      <c r="C18" s="430"/>
      <c r="D18" s="430"/>
      <c r="E18" s="431"/>
      <c r="F18" s="429"/>
      <c r="G18" s="597"/>
      <c r="H18" s="431"/>
      <c r="I18" s="432">
        <f>SUM(I19:I24)</f>
        <v>11955.470000000001</v>
      </c>
      <c r="J18" s="445">
        <f>SUM(J19:J24)</f>
        <v>7.3204945092020315E-2</v>
      </c>
    </row>
    <row r="19" spans="1:12" s="117" customFormat="1" ht="16.149999999999999" customHeight="1">
      <c r="A19" s="234" t="s">
        <v>180</v>
      </c>
      <c r="B19" s="225" t="str">
        <f>Custos!E22</f>
        <v>P8003</v>
      </c>
      <c r="C19" s="232" t="str">
        <f>Custos!D22</f>
        <v>DNIT</v>
      </c>
      <c r="D19" s="227" t="str">
        <f>Custos!B22</f>
        <v>Advogado sênior</v>
      </c>
      <c r="E19" s="228">
        <f>Custos!J22</f>
        <v>67.73</v>
      </c>
      <c r="F19" s="226" t="s">
        <v>184</v>
      </c>
      <c r="G19" s="593">
        <f>ROUND(('P1'!G19+'P2'!G19+'P3'!G19+'P4'!G19+'P5'!G19+'P6'!G19+P7a!G19+P7b!G19+'P8'!G19),2)</f>
        <v>7</v>
      </c>
      <c r="H19" s="228">
        <f>E19*G19</f>
        <v>474.11</v>
      </c>
      <c r="I19" s="228">
        <f>ROUND(('P1'!I19+'P2'!I19+'P3'!I19+'P4'!I19+'P5'!I19+'P6'!I19+P7a!I19+P7b!I19+'P8'!I19),2)</f>
        <v>808.15</v>
      </c>
      <c r="J19" s="242">
        <f t="shared" ref="J19:J24" si="2">I19/$I$50</f>
        <v>4.9484107589342951E-3</v>
      </c>
    </row>
    <row r="20" spans="1:12" s="117" customFormat="1" ht="16.149999999999999" customHeight="1">
      <c r="A20" s="234" t="s">
        <v>185</v>
      </c>
      <c r="B20" s="225" t="str">
        <f>Custos!E23</f>
        <v>P8067</v>
      </c>
      <c r="C20" s="232" t="str">
        <f>Custos!D23</f>
        <v>DNIT</v>
      </c>
      <c r="D20" s="227" t="str">
        <f>Custos!B23</f>
        <v>Engenheiro de Projetos (Elétrico)</v>
      </c>
      <c r="E20" s="228">
        <f>Custos!J23</f>
        <v>102.02</v>
      </c>
      <c r="F20" s="226" t="s">
        <v>184</v>
      </c>
      <c r="G20" s="593">
        <f>ROUND(('P1'!G20+'P2'!G20+'P3'!G20+'P4'!G20+'P5'!G20+'P6'!G20+P7a!G20+P7b!G20+'P8'!G20),2)</f>
        <v>14</v>
      </c>
      <c r="H20" s="228">
        <f t="shared" ref="H20:H24" si="3">E20*G20</f>
        <v>1428.28</v>
      </c>
      <c r="I20" s="228">
        <f>ROUND(('P1'!I20+'P2'!I20+'P3'!I20+'P4'!I20+'P5'!I20+'P6'!I20+P7a!I20+P7b!I20+'P8'!I20),2)</f>
        <v>2434.5500000000002</v>
      </c>
      <c r="J20" s="242">
        <f t="shared" si="2"/>
        <v>1.4907075930413278E-2</v>
      </c>
    </row>
    <row r="21" spans="1:12" s="117" customFormat="1" ht="16.149999999999999" customHeight="1">
      <c r="A21" s="234" t="s">
        <v>188</v>
      </c>
      <c r="B21" s="225" t="str">
        <f>Custos!E24</f>
        <v>P8067</v>
      </c>
      <c r="C21" s="232" t="str">
        <f>Custos!D24</f>
        <v>DNIT</v>
      </c>
      <c r="D21" s="227" t="str">
        <f>Custos!B24</f>
        <v>Engenheiro de Projeto (Calculista)</v>
      </c>
      <c r="E21" s="228">
        <f>Custos!J24</f>
        <v>102.02</v>
      </c>
      <c r="F21" s="226" t="s">
        <v>184</v>
      </c>
      <c r="G21" s="593">
        <f>ROUND(('P1'!G21+'P2'!G21+'P3'!G21+'P4'!G21+'P5'!G21+'P6'!G21+P7a!G21+P7b!G21+'P8'!G21),2)</f>
        <v>21</v>
      </c>
      <c r="H21" s="228">
        <f t="shared" si="3"/>
        <v>2142.42</v>
      </c>
      <c r="I21" s="228">
        <f>ROUND(('P1'!I21+'P2'!I21+'P3'!I21+'P4'!I21+'P5'!I21+'P6'!I21+P7a!I21+P7b!I21+'P8'!I21),2)</f>
        <v>3651.81</v>
      </c>
      <c r="J21" s="242">
        <f t="shared" si="2"/>
        <v>2.2360522048609603E-2</v>
      </c>
    </row>
    <row r="22" spans="1:12" s="117" customFormat="1" ht="16.149999999999999" customHeight="1">
      <c r="A22" s="234" t="s">
        <v>191</v>
      </c>
      <c r="B22" s="225" t="str">
        <f>Custos!E25</f>
        <v>P8067</v>
      </c>
      <c r="C22" s="232" t="str">
        <f>Custos!D25</f>
        <v>DNIT</v>
      </c>
      <c r="D22" s="227" t="str">
        <f>Custos!B25</f>
        <v>Engenheiro de Projetos (Mecânico)</v>
      </c>
      <c r="E22" s="228">
        <f>Custos!J25</f>
        <v>102.02</v>
      </c>
      <c r="F22" s="226" t="s">
        <v>184</v>
      </c>
      <c r="G22" s="593">
        <f>ROUND(('P1'!G22+'P2'!G22+'P3'!G22+'P4'!G22+'P5'!G22+'P6'!G22+P7a!G22+P7b!G22+'P8'!G22),2)</f>
        <v>14</v>
      </c>
      <c r="H22" s="228">
        <f t="shared" si="3"/>
        <v>1428.28</v>
      </c>
      <c r="I22" s="228">
        <f>ROUND(('P1'!I22+'P2'!I22+'P3'!I22+'P4'!I22+'P5'!I22+'P6'!I22+P7a!I22+P7b!I22+'P8'!I22),2)</f>
        <v>2434.5500000000002</v>
      </c>
      <c r="J22" s="242">
        <f t="shared" si="2"/>
        <v>1.4907075930413278E-2</v>
      </c>
    </row>
    <row r="23" spans="1:12" s="117" customFormat="1" ht="16.149999999999999" customHeight="1">
      <c r="A23" s="234" t="s">
        <v>202</v>
      </c>
      <c r="B23" s="225" t="str">
        <f>Custos!E26</f>
        <v>P8059</v>
      </c>
      <c r="C23" s="232" t="str">
        <f>Custos!D26</f>
        <v>DNIT</v>
      </c>
      <c r="D23" s="227" t="str">
        <f>Custos!B26</f>
        <v>Engenheiro ambiental</v>
      </c>
      <c r="E23" s="228">
        <f>Custos!J26</f>
        <v>92.52</v>
      </c>
      <c r="F23" s="226" t="s">
        <v>184</v>
      </c>
      <c r="G23" s="593">
        <f>ROUND(('P1'!G23+'P2'!G23+'P3'!G23+'P4'!G23+'P5'!G23+'P6'!G23+P7a!G23+P7b!G23+'P8'!G23),2)</f>
        <v>14</v>
      </c>
      <c r="H23" s="228">
        <f t="shared" si="3"/>
        <v>1295.28</v>
      </c>
      <c r="I23" s="228">
        <f>ROUND(('P1'!I23+'P2'!I23+'P3'!I23+'P4'!I23+'P5'!I23+'P6'!I23+P7a!I23+P7b!I23+'P8'!I23),2)</f>
        <v>2207.85</v>
      </c>
      <c r="J23" s="242">
        <f t="shared" si="2"/>
        <v>1.3518961447890965E-2</v>
      </c>
    </row>
    <row r="24" spans="1:12" s="117" customFormat="1" ht="16.149999999999999" customHeight="1">
      <c r="A24" s="234" t="s">
        <v>205</v>
      </c>
      <c r="B24" s="225" t="str">
        <f>Custos!E27</f>
        <v>P8155</v>
      </c>
      <c r="C24" s="232" t="str">
        <f>Custos!D27</f>
        <v>DNIT</v>
      </c>
      <c r="D24" s="227" t="str">
        <f>Custos!B27</f>
        <v>Técnico em geoprocessamento</v>
      </c>
      <c r="E24" s="228">
        <f>Custos!J27</f>
        <v>17.54</v>
      </c>
      <c r="F24" s="226" t="s">
        <v>184</v>
      </c>
      <c r="G24" s="593">
        <f>ROUND(('P1'!G24+'P2'!G24+'P3'!G24+'P4'!G24+'P5'!G24+'P6'!G24+P7a!G24+P7b!G24+'P8'!G24),2)</f>
        <v>14</v>
      </c>
      <c r="H24" s="228">
        <f t="shared" si="3"/>
        <v>245.56</v>
      </c>
      <c r="I24" s="228">
        <f>ROUND(('P1'!I24+'P2'!I24+'P3'!I24+'P4'!I24+'P5'!I24+'P6'!I24+P7a!I24+P7b!I24+'P8'!I24),2)</f>
        <v>418.56</v>
      </c>
      <c r="J24" s="242">
        <f t="shared" si="2"/>
        <v>2.56289897575888E-3</v>
      </c>
      <c r="L24" s="118"/>
    </row>
    <row r="25" spans="1:12" ht="6" customHeight="1">
      <c r="A25" s="152"/>
      <c r="B25" s="152"/>
      <c r="C25" s="152"/>
      <c r="D25" s="153"/>
      <c r="E25" s="154"/>
      <c r="F25" s="177"/>
      <c r="G25" s="594"/>
      <c r="H25" s="155"/>
      <c r="I25" s="155"/>
      <c r="J25" s="186"/>
    </row>
    <row r="26" spans="1:12" s="116" customFormat="1" ht="18" customHeight="1">
      <c r="A26" s="433">
        <v>3</v>
      </c>
      <c r="B26" s="434" t="s">
        <v>129</v>
      </c>
      <c r="C26" s="434"/>
      <c r="D26" s="174"/>
      <c r="E26" s="175"/>
      <c r="F26" s="173"/>
      <c r="G26" s="602"/>
      <c r="H26" s="174"/>
      <c r="I26" s="439">
        <f>I28+I33+I39</f>
        <v>64740.71</v>
      </c>
      <c r="J26" s="428">
        <f>I26/$I$50</f>
        <v>0.39641604393373153</v>
      </c>
    </row>
    <row r="27" spans="1:12" ht="5.0999999999999996" customHeight="1">
      <c r="A27" s="159"/>
      <c r="B27" s="160"/>
      <c r="C27" s="161"/>
      <c r="D27" s="162"/>
      <c r="E27" s="157"/>
      <c r="F27" s="151"/>
      <c r="G27" s="596"/>
      <c r="H27" s="151"/>
      <c r="I27" s="151"/>
      <c r="J27" s="185"/>
    </row>
    <row r="28" spans="1:12" s="116" customFormat="1" ht="18" customHeight="1">
      <c r="A28" s="170" t="s">
        <v>59</v>
      </c>
      <c r="B28" s="171" t="s">
        <v>217</v>
      </c>
      <c r="C28" s="171"/>
      <c r="D28" s="171"/>
      <c r="E28" s="172"/>
      <c r="F28" s="170"/>
      <c r="G28" s="603"/>
      <c r="H28" s="171"/>
      <c r="I28" s="440">
        <f>SUM(I29:I31)</f>
        <v>23777.699999999997</v>
      </c>
      <c r="J28" s="444">
        <f>SUM(J29:J31)</f>
        <v>0.14559404380710511</v>
      </c>
    </row>
    <row r="29" spans="1:12" s="117" customFormat="1">
      <c r="A29" s="234" t="s">
        <v>180</v>
      </c>
      <c r="B29" s="234">
        <f>Custos!E38</f>
        <v>65003710</v>
      </c>
      <c r="C29" s="240" t="str">
        <f>Custos!D38</f>
        <v>COPASA</v>
      </c>
      <c r="D29" s="235" t="str">
        <f>Custos!B38</f>
        <v>Mobilização e desmobilização de equipe de topografia</v>
      </c>
      <c r="E29" s="236">
        <f>Custos!J38</f>
        <v>4.1699535216825732</v>
      </c>
      <c r="F29" s="296" t="str">
        <f>Custos!H38</f>
        <v>km</v>
      </c>
      <c r="G29" s="593">
        <f>ROUND(('P1'!G29+'P2'!G29+'P3'!G29+'P4'!G29+'P5'!G29+'P6'!G29+P7a!G29+P7b!G29+'P8'!G29),2)</f>
        <v>566</v>
      </c>
      <c r="H29" s="228">
        <f>G29*E29</f>
        <v>2360.1936932723365</v>
      </c>
      <c r="I29" s="228">
        <f>ROUND(('P1'!I29+'P2'!I29+'P3'!I29+'P4'!I29+'P5'!I29+'P6'!I29+P7a!I29+P7b!I29+'P8'!I29),2)</f>
        <v>3436.95</v>
      </c>
      <c r="J29" s="243">
        <f>I29/$I$50</f>
        <v>2.1044905472893925E-2</v>
      </c>
    </row>
    <row r="30" spans="1:12" s="117" customFormat="1" ht="24.75" customHeight="1">
      <c r="A30" s="234" t="s">
        <v>185</v>
      </c>
      <c r="B30" s="234">
        <f>Custos!E39</f>
        <v>65001667</v>
      </c>
      <c r="C30" s="240" t="str">
        <f>Custos!D39</f>
        <v>COPASA</v>
      </c>
      <c r="D30" s="235" t="str">
        <f>Custos!B39</f>
        <v>Equipe de topografia de campo</v>
      </c>
      <c r="E30" s="236">
        <f>Custos!J39</f>
        <v>45822.012189596455</v>
      </c>
      <c r="F30" s="296" t="str">
        <f>Custos!H39</f>
        <v>mês</v>
      </c>
      <c r="G30" s="593">
        <f>ROUND(('P1'!G30+'P2'!G30+'P3'!G30+'P4'!G30+'P5'!G30+'P6'!G30+P7a!G30+P7b!G30+'P8'!G30),2)</f>
        <v>0.2</v>
      </c>
      <c r="H30" s="228">
        <f t="shared" ref="H30:H31" si="4">G30*E30</f>
        <v>9164.4024379192906</v>
      </c>
      <c r="I30" s="228">
        <f>ROUND(('P1'!I30+'P2'!I30+'P3'!I30+'P4'!I30+'P5'!I30+'P6'!I30+P7a!I30+P7b!I30+'P8'!I30),2)</f>
        <v>13345.35</v>
      </c>
      <c r="J30" s="243">
        <f t="shared" ref="J30:J31" si="5">I30/$I$50</f>
        <v>8.1715366604892412E-2</v>
      </c>
    </row>
    <row r="31" spans="1:12" s="117" customFormat="1" ht="21" customHeight="1">
      <c r="A31" s="234" t="s">
        <v>188</v>
      </c>
      <c r="B31" s="234">
        <f>Custos!E40</f>
        <v>65001668</v>
      </c>
      <c r="C31" s="240" t="str">
        <f>Custos!D40</f>
        <v>COPASA</v>
      </c>
      <c r="D31" s="235" t="str">
        <f>Custos!B40</f>
        <v>Equipe de topografia de escritório</v>
      </c>
      <c r="E31" s="236">
        <f>Custos!J40</f>
        <v>24019.089839810575</v>
      </c>
      <c r="F31" s="296" t="str">
        <f>Custos!H40</f>
        <v>mês</v>
      </c>
      <c r="G31" s="593">
        <f>ROUND(('P1'!G31+'P2'!G31+'P3'!G31+'P4'!G31+'P5'!G31+'P6'!G31+P7a!G31+P7b!G31+'P8'!G31),2)</f>
        <v>0.2</v>
      </c>
      <c r="H31" s="228">
        <f t="shared" si="4"/>
        <v>4803.8179679621153</v>
      </c>
      <c r="I31" s="228">
        <f>ROUND(('P1'!I31+'P2'!I31+'P3'!I31+'P4'!I31+'P5'!I31+'P6'!I31+P7a!I31+P7b!I31+'P8'!I31),2)</f>
        <v>6995.4</v>
      </c>
      <c r="J31" s="243">
        <f t="shared" si="5"/>
        <v>4.2833771729318779E-2</v>
      </c>
    </row>
    <row r="32" spans="1:12" ht="5.0999999999999996" customHeight="1">
      <c r="A32" s="159"/>
      <c r="B32" s="160"/>
      <c r="C32" s="161"/>
      <c r="D32" s="162"/>
      <c r="E32" s="157"/>
      <c r="F32" s="151"/>
      <c r="G32" s="596"/>
      <c r="H32" s="151"/>
      <c r="I32" s="151"/>
      <c r="J32" s="185"/>
    </row>
    <row r="33" spans="1:10" s="116" customFormat="1" ht="18" customHeight="1">
      <c r="A33" s="148" t="s">
        <v>60</v>
      </c>
      <c r="B33" s="163" t="s">
        <v>467</v>
      </c>
      <c r="C33" s="163"/>
      <c r="D33" s="163"/>
      <c r="E33" s="150"/>
      <c r="F33" s="148"/>
      <c r="G33" s="604"/>
      <c r="H33" s="149"/>
      <c r="I33" s="164">
        <f>SUM(I34:I37)</f>
        <v>20622.260000000002</v>
      </c>
      <c r="J33" s="443">
        <f>SUM(J34:J37)</f>
        <v>0.12627286179241523</v>
      </c>
    </row>
    <row r="34" spans="1:10" s="117" customFormat="1" ht="26.45" customHeight="1">
      <c r="A34" s="234" t="s">
        <v>180</v>
      </c>
      <c r="B34" s="234">
        <f>Custos!E32</f>
        <v>65001207</v>
      </c>
      <c r="C34" s="240" t="str">
        <f>Custos!D32</f>
        <v>COPASA</v>
      </c>
      <c r="D34" s="235" t="str">
        <f>Custos!B32</f>
        <v>Sondagem a percussao - mobilizacao e desmobilizacao</v>
      </c>
      <c r="E34" s="236">
        <f>Custos!J32</f>
        <v>1215.1790752568731</v>
      </c>
      <c r="F34" s="296" t="str">
        <f>Custos!H32</f>
        <v>unidade</v>
      </c>
      <c r="G34" s="593">
        <f>ROUND(('P1'!G34+'P2'!G34+'P3'!G34+'P4'!G34+'P5'!G34+'P6'!G34+P7a!G34+P7b!G34+'P8'!G34),2)</f>
        <v>1</v>
      </c>
      <c r="H34" s="228">
        <f>G34*E34</f>
        <v>1215.1790752568731</v>
      </c>
      <c r="I34" s="228">
        <f>ROUND(('P1'!I34+'P2'!I34+'P3'!I34+'P4'!I34+'P5'!I34+'P6'!I34+P7a!I34+P7b!I34+'P8'!I34),2)</f>
        <v>1769.57</v>
      </c>
      <c r="J34" s="242">
        <f>I34/$I$50</f>
        <v>1.0835314269241305E-2</v>
      </c>
    </row>
    <row r="35" spans="1:10" s="117" customFormat="1" ht="26.45" customHeight="1">
      <c r="A35" s="234" t="s">
        <v>185</v>
      </c>
      <c r="B35" s="234">
        <f>Custos!E33</f>
        <v>65001208</v>
      </c>
      <c r="C35" s="240" t="str">
        <f>Custos!D33</f>
        <v>COPASA</v>
      </c>
      <c r="D35" s="235" t="str">
        <f>Custos!B33</f>
        <v>Sondagem a percussao - adicional de mobilizacao e desmobilizacao</v>
      </c>
      <c r="E35" s="236">
        <f>Custos!J33</f>
        <v>8.7600534939125083</v>
      </c>
      <c r="F35" s="296" t="str">
        <f>Custos!H33</f>
        <v>km</v>
      </c>
      <c r="G35" s="593">
        <f>ROUND(('P1'!G35+'P2'!G35+'P3'!G35+'P4'!G35+'P5'!G35+'P6'!G35+P7a!G35+P7b!G35+'P8'!G35),2)</f>
        <v>0</v>
      </c>
      <c r="H35" s="228">
        <f t="shared" ref="H35:H37" si="6">G35*E35</f>
        <v>0</v>
      </c>
      <c r="I35" s="228">
        <f>ROUND(('P1'!I35+'P2'!I35+'P3'!I35+'P4'!I35+'P5'!I35+'P6'!I35+P7a!I35+P7b!I35+'P8'!I35),2)</f>
        <v>0</v>
      </c>
      <c r="J35" s="242">
        <f>I35/$I$50</f>
        <v>0</v>
      </c>
    </row>
    <row r="36" spans="1:10" s="117" customFormat="1" ht="26.45" customHeight="1">
      <c r="A36" s="234" t="s">
        <v>188</v>
      </c>
      <c r="B36" s="234">
        <f>Custos!E34</f>
        <v>65001209</v>
      </c>
      <c r="C36" s="240" t="str">
        <f>Custos!D34</f>
        <v>COPASA</v>
      </c>
      <c r="D36" s="235" t="str">
        <f>Custos!B34</f>
        <v>Sondagem a percussao - instalacao por furo</v>
      </c>
      <c r="E36" s="236">
        <f>Custos!J34</f>
        <v>442.73982592554694</v>
      </c>
      <c r="F36" s="296" t="str">
        <f>Custos!H34</f>
        <v>unidade</v>
      </c>
      <c r="G36" s="593">
        <f>ROUND(('P1'!G36+'P2'!G36+'P3'!G36+'P4'!G36+'P5'!G36+'P6'!G36+P7a!G36+P7b!G36+'P8'!G36),2)</f>
        <v>6</v>
      </c>
      <c r="H36" s="228">
        <f t="shared" si="6"/>
        <v>2656.4389555532816</v>
      </c>
      <c r="I36" s="228">
        <f>ROUND(('P1'!I36+'P2'!I36+'P3'!I36+'P4'!I36+'P5'!I36+'P6'!I36+P7a!I36+P7b!I36+'P8'!I36),2)</f>
        <v>3868.35</v>
      </c>
      <c r="J36" s="242">
        <f>I36/$I$50</f>
        <v>2.3686425489480273E-2</v>
      </c>
    </row>
    <row r="37" spans="1:10" s="117" customFormat="1" ht="26.45" customHeight="1">
      <c r="A37" s="234" t="s">
        <v>191</v>
      </c>
      <c r="B37" s="234">
        <f>Custos!E35</f>
        <v>65001210</v>
      </c>
      <c r="C37" s="240" t="str">
        <f>Custos!D35</f>
        <v>COPASA</v>
      </c>
      <c r="D37" s="235" t="str">
        <f>Custos!B35</f>
        <v>Sondagem a percussao ø2.1/2" - perfuracao e retirada de amostras</v>
      </c>
      <c r="E37" s="236">
        <f>Custos!J35</f>
        <v>137.19882342624123</v>
      </c>
      <c r="F37" s="296" t="str">
        <f>Custos!H35</f>
        <v>m</v>
      </c>
      <c r="G37" s="593">
        <f>ROUND(('P1'!G37+'P2'!G37+'P3'!G37+'P4'!G37+'P5'!G37+'P6'!G37+P7a!G37+P7b!G37+'P8'!G37),2)</f>
        <v>75</v>
      </c>
      <c r="H37" s="228">
        <f t="shared" si="6"/>
        <v>10289.911756968093</v>
      </c>
      <c r="I37" s="228">
        <f>ROUND(('P1'!I37+'P2'!I37+'P3'!I37+'P4'!I37+'P5'!I37+'P6'!I37+P7a!I37+P7b!I37+'P8'!I37),2)</f>
        <v>14984.34</v>
      </c>
      <c r="J37" s="242">
        <f>I37/$I$50</f>
        <v>9.1751122033693649E-2</v>
      </c>
    </row>
    <row r="38" spans="1:10" s="117" customFormat="1" ht="9" customHeight="1">
      <c r="A38" s="347"/>
      <c r="B38" s="159"/>
      <c r="C38" s="348"/>
      <c r="D38" s="349"/>
      <c r="E38" s="350"/>
      <c r="F38" s="151"/>
      <c r="G38" s="605"/>
      <c r="H38" s="351"/>
      <c r="I38" s="351"/>
      <c r="J38" s="352"/>
    </row>
    <row r="39" spans="1:10" s="116" customFormat="1" ht="18" customHeight="1">
      <c r="A39" s="148" t="s">
        <v>61</v>
      </c>
      <c r="B39" s="163" t="s">
        <v>497</v>
      </c>
      <c r="C39" s="163"/>
      <c r="D39" s="163"/>
      <c r="E39" s="150"/>
      <c r="F39" s="148"/>
      <c r="G39" s="604"/>
      <c r="H39" s="149"/>
      <c r="I39" s="164">
        <f>SUM(I40:I41)</f>
        <v>20340.75</v>
      </c>
      <c r="J39" s="443">
        <f>SUM(J40:J41)</f>
        <v>0.12454913833421119</v>
      </c>
    </row>
    <row r="40" spans="1:10" s="117" customFormat="1">
      <c r="A40" s="234" t="s">
        <v>180</v>
      </c>
      <c r="B40" s="234">
        <f>Custos!E43</f>
        <v>65001667</v>
      </c>
      <c r="C40" s="240" t="str">
        <f>Custos!D43</f>
        <v>COPASA</v>
      </c>
      <c r="D40" s="235" t="str">
        <f>Custos!B43</f>
        <v>Equipe de topografia de campo</v>
      </c>
      <c r="E40" s="236">
        <f>Custos!J43</f>
        <v>45822.012189596455</v>
      </c>
      <c r="F40" s="296" t="str">
        <f>Custos!H43</f>
        <v>mês</v>
      </c>
      <c r="G40" s="593">
        <f>ROUND(('P1'!G40+'P2'!G40+'P3'!G40+'P4'!G40+'P5'!G40+'P6'!G40+P7a!G40+P7b!G40+'P8'!G40),2)</f>
        <v>0.2</v>
      </c>
      <c r="H40" s="228">
        <f>G40*E40</f>
        <v>9164.4024379192906</v>
      </c>
      <c r="I40" s="228">
        <f>ROUND(('P1'!I40+'P2'!I40+'P3'!I40+'P4'!I40+'P5'!I40+'P6'!I40+P7a!I40+P7b!I40+'P8'!I40),2)</f>
        <v>13345.35</v>
      </c>
      <c r="J40" s="243">
        <f>I40/$I$50</f>
        <v>8.1715366604892412E-2</v>
      </c>
    </row>
    <row r="41" spans="1:10" s="117" customFormat="1" ht="38.25" customHeight="1">
      <c r="A41" s="234" t="s">
        <v>185</v>
      </c>
      <c r="B41" s="234">
        <f>Custos!E44</f>
        <v>65001668</v>
      </c>
      <c r="C41" s="240" t="str">
        <f>Custos!D44</f>
        <v>COPASA</v>
      </c>
      <c r="D41" s="235" t="str">
        <f>Custos!B44</f>
        <v>Equipe de topografia de escritório</v>
      </c>
      <c r="E41" s="236">
        <f>Custos!J44</f>
        <v>24019.089839810575</v>
      </c>
      <c r="F41" s="296" t="str">
        <f>Custos!H44</f>
        <v>mês</v>
      </c>
      <c r="G41" s="593">
        <f>ROUND(('P1'!G41+'P2'!G41+'P3'!G41+'P4'!G41+'P5'!G41+'P6'!G41+P7a!G41+P7b!G41+'P8'!G41),2)</f>
        <v>0.2</v>
      </c>
      <c r="H41" s="228">
        <f>G41*E41</f>
        <v>4803.8179679621153</v>
      </c>
      <c r="I41" s="228">
        <f>ROUND(('P1'!I41+'P2'!I41+'P3'!I41+'P4'!I41+'P5'!I41+'P6'!I41+P7a!I41+P7b!I41+'P8'!I41),2)</f>
        <v>6995.4</v>
      </c>
      <c r="J41" s="242">
        <f>I41/$I$50</f>
        <v>4.2833771729318779E-2</v>
      </c>
    </row>
    <row r="42" spans="1:10" ht="5.0999999999999996" customHeight="1">
      <c r="A42" s="234"/>
      <c r="B42" s="240"/>
      <c r="C42" s="234"/>
      <c r="D42" s="165"/>
      <c r="E42" s="157"/>
      <c r="F42" s="226"/>
      <c r="G42" s="596"/>
      <c r="H42" s="151"/>
      <c r="I42" s="151"/>
      <c r="J42" s="185"/>
    </row>
    <row r="43" spans="1:10" s="116" customFormat="1" ht="18" customHeight="1">
      <c r="A43" s="433" t="s">
        <v>480</v>
      </c>
      <c r="B43" s="434" t="s">
        <v>481</v>
      </c>
      <c r="C43" s="434"/>
      <c r="D43" s="174"/>
      <c r="E43" s="175"/>
      <c r="F43" s="173"/>
      <c r="G43" s="602"/>
      <c r="H43" s="174"/>
      <c r="I43" s="439">
        <f>I45</f>
        <v>6872.7999999999993</v>
      </c>
      <c r="J43" s="428">
        <f>I43/$I$50</f>
        <v>4.2083075498364937E-2</v>
      </c>
    </row>
    <row r="44" spans="1:10" ht="5.0999999999999996" customHeight="1">
      <c r="A44" s="435"/>
      <c r="B44" s="160"/>
      <c r="C44" s="435"/>
      <c r="D44" s="165"/>
      <c r="E44" s="157"/>
      <c r="F44" s="151"/>
      <c r="G44" s="596"/>
      <c r="H44" s="151"/>
      <c r="I44" s="151"/>
      <c r="J44" s="185"/>
    </row>
    <row r="45" spans="1:10" s="116" customFormat="1" ht="18" customHeight="1">
      <c r="A45" s="148" t="s">
        <v>72</v>
      </c>
      <c r="B45" s="149" t="s">
        <v>223</v>
      </c>
      <c r="C45" s="149"/>
      <c r="D45" s="149"/>
      <c r="E45" s="150"/>
      <c r="F45" s="148"/>
      <c r="G45" s="604"/>
      <c r="H45" s="149"/>
      <c r="I45" s="169">
        <f>SUM(I46:I48)</f>
        <v>6872.7999999999993</v>
      </c>
      <c r="J45" s="442">
        <f>SUM(J46:J48)</f>
        <v>4.2083075498364937E-2</v>
      </c>
    </row>
    <row r="46" spans="1:10" s="117" customFormat="1" ht="16.149999999999999" customHeight="1">
      <c r="A46" s="234" t="s">
        <v>185</v>
      </c>
      <c r="B46" s="238" t="s">
        <v>212</v>
      </c>
      <c r="C46" s="241" t="str">
        <f>Custos!E49</f>
        <v>-</v>
      </c>
      <c r="D46" s="235" t="str">
        <f>Custos!B49</f>
        <v>Veículo tipo pick-up 4X4</v>
      </c>
      <c r="E46" s="236">
        <f>Custos!J49/30</f>
        <v>76.958154824085298</v>
      </c>
      <c r="F46" s="296" t="s">
        <v>539</v>
      </c>
      <c r="G46" s="593">
        <f>ROUND(('P1'!G46+'P2'!G46+'P3'!G46+'P4'!G46+'P5'!G46+'P6'!G46+P7a!G46+P7b!G46+'P8'!G46),2)</f>
        <v>16</v>
      </c>
      <c r="H46" s="228">
        <f>G46*E46</f>
        <v>1231.3304771853648</v>
      </c>
      <c r="I46" s="228">
        <f>ROUND(('P1'!I46+'P2'!I46+'P3'!I46+'P4'!I46+'P5'!I46+'P6'!I46+P7a!I46+P7b!I46+'P8'!I46),2)</f>
        <v>1528.8</v>
      </c>
      <c r="J46" s="243">
        <f>I46/$I$50</f>
        <v>9.3610472910459087E-3</v>
      </c>
    </row>
    <row r="47" spans="1:10" s="117" customFormat="1" ht="16.149999999999999" customHeight="1">
      <c r="A47" s="234" t="s">
        <v>188</v>
      </c>
      <c r="B47" s="238" t="s">
        <v>212</v>
      </c>
      <c r="C47" s="241" t="str">
        <f>Custos!E50</f>
        <v>-</v>
      </c>
      <c r="D47" s="235" t="str">
        <f>Custos!B50</f>
        <v>Refeições</v>
      </c>
      <c r="E47" s="236">
        <f>Custos!J50</f>
        <v>24.51</v>
      </c>
      <c r="F47" s="296" t="s">
        <v>211</v>
      </c>
      <c r="G47" s="593">
        <f>ROUND(('P1'!G47+'P2'!G47+'P3'!G47+'P4'!G47+'P5'!G47+'P6'!G47+P7a!G47+P7b!G47+'P8'!G47),2)</f>
        <v>32</v>
      </c>
      <c r="H47" s="228">
        <f t="shared" ref="H47:H48" si="7">G47*E47</f>
        <v>784.32</v>
      </c>
      <c r="I47" s="228">
        <f>ROUND(('P1'!I47+'P2'!I47+'P3'!I47+'P4'!I47+'P5'!I47+'P6'!I47+P7a!I47+P7b!I47+'P8'!I47),2)</f>
        <v>973.76</v>
      </c>
      <c r="J47" s="243">
        <f>I47/$I$50</f>
        <v>5.9624629841240609E-3</v>
      </c>
    </row>
    <row r="48" spans="1:10" s="117" customFormat="1" ht="16.149999999999999" customHeight="1">
      <c r="A48" s="234" t="s">
        <v>191</v>
      </c>
      <c r="B48" s="238" t="str">
        <f>Custos!E51</f>
        <v>-</v>
      </c>
      <c r="C48" s="241" t="str">
        <f>Custos!E51</f>
        <v>-</v>
      </c>
      <c r="D48" s="235" t="str">
        <f>Custos!B51</f>
        <v>Diárias</v>
      </c>
      <c r="E48" s="236">
        <f>Custos!J51</f>
        <v>220</v>
      </c>
      <c r="F48" s="296" t="s">
        <v>211</v>
      </c>
      <c r="G48" s="593">
        <f>ROUND(('P1'!G48+'P2'!G48+'P3'!G48+'P4'!G48+'P5'!G48+'P6'!G48+P7a!G48+P7b!G48+'P8'!G48),2)</f>
        <v>16</v>
      </c>
      <c r="H48" s="228">
        <f t="shared" si="7"/>
        <v>3520</v>
      </c>
      <c r="I48" s="228">
        <f>ROUND(('P1'!I48+'P2'!I48+'P3'!I48+'P4'!I48+'P5'!I48+'P6'!I48+P7a!I48+P7b!I48+'P8'!I48),2)</f>
        <v>4370.24</v>
      </c>
      <c r="J48" s="243">
        <f>I48/$I$50</f>
        <v>2.6759565223194968E-2</v>
      </c>
    </row>
    <row r="49" spans="1:11" ht="6" customHeight="1">
      <c r="A49" s="143"/>
      <c r="B49" s="152"/>
      <c r="C49" s="152"/>
      <c r="D49" s="166"/>
      <c r="E49" s="167"/>
      <c r="F49" s="177"/>
      <c r="G49" s="155"/>
      <c r="H49" s="155"/>
      <c r="I49" s="168"/>
      <c r="J49" s="187"/>
    </row>
    <row r="50" spans="1:11" ht="18" customHeight="1">
      <c r="A50" s="712" t="s">
        <v>482</v>
      </c>
      <c r="B50" s="712"/>
      <c r="C50" s="712"/>
      <c r="D50" s="712"/>
      <c r="E50" s="436"/>
      <c r="F50" s="437"/>
      <c r="G50" s="438"/>
      <c r="H50" s="436" t="s">
        <v>384</v>
      </c>
      <c r="I50" s="436">
        <f>I7+I16+I26+I43</f>
        <v>163315.06</v>
      </c>
      <c r="J50" s="441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7"/>
    </row>
    <row r="52" spans="1:11" ht="20.100000000000001" customHeight="1">
      <c r="A52" s="144" t="s">
        <v>483</v>
      </c>
      <c r="B52" s="145"/>
      <c r="C52" s="145"/>
      <c r="D52" s="145"/>
      <c r="E52" s="146"/>
      <c r="F52" s="178"/>
      <c r="G52" s="145"/>
      <c r="H52" s="145"/>
      <c r="I52" s="145"/>
      <c r="J52" s="146"/>
    </row>
    <row r="53" spans="1:11" ht="24" customHeight="1">
      <c r="A53" s="147" t="s">
        <v>484</v>
      </c>
      <c r="B53" s="713" t="s">
        <v>237</v>
      </c>
      <c r="C53" s="713"/>
      <c r="D53" s="713"/>
      <c r="E53" s="713"/>
      <c r="F53" s="713"/>
      <c r="G53" s="713"/>
      <c r="H53" s="713"/>
      <c r="I53" s="713"/>
      <c r="J53" s="713"/>
    </row>
    <row r="54" spans="1:11" ht="13.15" customHeight="1">
      <c r="A54" s="147" t="s">
        <v>485</v>
      </c>
      <c r="B54" s="709" t="s">
        <v>486</v>
      </c>
      <c r="C54" s="709"/>
      <c r="D54" s="709"/>
      <c r="E54" s="709"/>
      <c r="F54" s="709"/>
      <c r="G54" s="709"/>
      <c r="H54" s="709"/>
      <c r="I54" s="709"/>
      <c r="J54" s="709"/>
    </row>
    <row r="55" spans="1:11" ht="13.15" customHeight="1">
      <c r="A55" s="147" t="s">
        <v>487</v>
      </c>
      <c r="B55" s="709" t="s">
        <v>488</v>
      </c>
      <c r="C55" s="709"/>
      <c r="D55" s="709"/>
      <c r="E55" s="709"/>
      <c r="F55" s="709"/>
      <c r="G55" s="709"/>
      <c r="H55" s="709"/>
      <c r="I55" s="709"/>
      <c r="J55" s="709"/>
    </row>
    <row r="56" spans="1:11" ht="13.15" customHeight="1">
      <c r="A56" s="147"/>
      <c r="B56" s="354"/>
      <c r="C56" s="354"/>
      <c r="D56" s="354"/>
      <c r="E56" s="354"/>
      <c r="F56" s="354"/>
      <c r="G56" s="354"/>
      <c r="H56" s="354"/>
      <c r="I56" s="354"/>
      <c r="J56" s="354"/>
    </row>
    <row r="57" spans="1:11" ht="13.15" customHeight="1">
      <c r="A57" s="707" t="s">
        <v>549</v>
      </c>
      <c r="B57" s="707"/>
      <c r="C57" s="707"/>
      <c r="D57" s="707"/>
      <c r="F57" s="707" t="s">
        <v>550</v>
      </c>
      <c r="G57" s="707"/>
      <c r="H57" s="707"/>
      <c r="I57" s="707"/>
      <c r="J57" s="354"/>
    </row>
    <row r="58" spans="1:11" ht="13.15" customHeight="1">
      <c r="A58" s="708" t="s">
        <v>551</v>
      </c>
      <c r="B58" s="708"/>
      <c r="C58" s="708"/>
      <c r="D58" s="708"/>
      <c r="F58" s="708" t="s">
        <v>551</v>
      </c>
      <c r="G58" s="708"/>
      <c r="H58" s="708"/>
      <c r="I58" s="708"/>
      <c r="J58" s="354"/>
    </row>
    <row r="59" spans="1:11">
      <c r="A59" s="708" t="s">
        <v>552</v>
      </c>
      <c r="B59" s="708"/>
      <c r="C59" s="708"/>
      <c r="D59" s="708"/>
      <c r="F59" s="708" t="s">
        <v>552</v>
      </c>
      <c r="G59" s="708"/>
      <c r="H59" s="708"/>
      <c r="I59" s="708"/>
      <c r="K59"/>
    </row>
    <row r="60" spans="1:11" ht="15" customHeight="1">
      <c r="A60" s="609"/>
      <c r="B60" s="609"/>
      <c r="C60" s="609"/>
      <c r="D60" s="609"/>
      <c r="F60" s="125"/>
      <c r="G60" s="125"/>
      <c r="H60" s="125"/>
      <c r="J60" s="446"/>
      <c r="K60"/>
    </row>
    <row r="61" spans="1:11" ht="15" customHeight="1">
      <c r="A61" s="707" t="s">
        <v>553</v>
      </c>
      <c r="B61" s="707"/>
      <c r="C61" s="707"/>
      <c r="D61" s="707"/>
      <c r="E61" s="80"/>
      <c r="F61" s="707" t="s">
        <v>746</v>
      </c>
      <c r="G61" s="707"/>
      <c r="H61" s="707"/>
      <c r="I61" s="707"/>
      <c r="J61" s="446"/>
    </row>
    <row r="62" spans="1:11" ht="15" customHeight="1">
      <c r="A62" s="708" t="s">
        <v>554</v>
      </c>
      <c r="B62" s="708"/>
      <c r="C62" s="708"/>
      <c r="D62" s="708"/>
      <c r="E62" s="80"/>
      <c r="F62" s="708" t="s">
        <v>543</v>
      </c>
      <c r="G62" s="708"/>
      <c r="H62" s="708"/>
      <c r="I62" s="708"/>
      <c r="J62" s="447"/>
      <c r="K62" s="116"/>
    </row>
    <row r="63" spans="1:11">
      <c r="A63" s="708" t="s">
        <v>552</v>
      </c>
      <c r="B63" s="708"/>
      <c r="C63" s="708"/>
      <c r="D63" s="708"/>
      <c r="E63" s="80"/>
      <c r="F63" s="708" t="s">
        <v>552</v>
      </c>
      <c r="G63" s="708"/>
      <c r="H63" s="708"/>
      <c r="I63" s="708"/>
    </row>
  </sheetData>
  <mergeCells count="18">
    <mergeCell ref="A61:D61"/>
    <mergeCell ref="F61:I61"/>
    <mergeCell ref="A62:D62"/>
    <mergeCell ref="F62:I62"/>
    <mergeCell ref="A63:D63"/>
    <mergeCell ref="F63:I63"/>
    <mergeCell ref="A57:D57"/>
    <mergeCell ref="F57:I57"/>
    <mergeCell ref="A58:D58"/>
    <mergeCell ref="F58:I58"/>
    <mergeCell ref="A59:D59"/>
    <mergeCell ref="F59:I59"/>
    <mergeCell ref="B55:J55"/>
    <mergeCell ref="C1:J1"/>
    <mergeCell ref="E6:F6"/>
    <mergeCell ref="A50:D50"/>
    <mergeCell ref="B53:J53"/>
    <mergeCell ref="B54:J5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-0.249977111117893"/>
    <pageSetUpPr fitToPage="1"/>
  </sheetPr>
  <dimension ref="A1:BN47"/>
  <sheetViews>
    <sheetView showGridLines="0" topLeftCell="A6" zoomScale="70" zoomScaleNormal="70" zoomScaleSheetLayoutView="100" workbookViewId="0">
      <selection activeCell="AQ50" sqref="AQ50"/>
    </sheetView>
  </sheetViews>
  <sheetFormatPr defaultColWidth="9.140625" defaultRowHeight="15.75"/>
  <cols>
    <col min="1" max="1" width="13.42578125" style="189" customWidth="1"/>
    <col min="2" max="2" width="4.28515625" style="189" customWidth="1"/>
    <col min="3" max="3" width="28.85546875" style="189" customWidth="1"/>
    <col min="4" max="4" width="15.140625" style="189" customWidth="1"/>
    <col min="5" max="5" width="12.7109375" style="189" customWidth="1"/>
    <col min="6" max="18" width="2.7109375" style="189" customWidth="1"/>
    <col min="19" max="66" width="2.7109375" customWidth="1"/>
  </cols>
  <sheetData>
    <row r="1" spans="1:66" ht="18" customHeight="1">
      <c r="A1" s="710" t="str">
        <f>'P1'!C1</f>
        <v xml:space="preserve">ORÇAMENTO PARA ELABORAÇÃO DE PROJETO DE SISTEMA DE ESGOTAMENTO SANITÁRIO 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0"/>
      <c r="AN1" s="710"/>
      <c r="AO1" s="710"/>
      <c r="AP1" s="710"/>
      <c r="AQ1" s="710"/>
      <c r="AR1" s="710"/>
      <c r="AS1" s="710"/>
      <c r="AT1" s="710"/>
      <c r="AU1" s="710"/>
      <c r="AV1" s="710"/>
      <c r="AW1" s="710"/>
      <c r="AX1" s="710"/>
      <c r="AY1" s="710"/>
      <c r="AZ1" s="710"/>
      <c r="BA1" s="710"/>
      <c r="BB1" s="710"/>
      <c r="BC1" s="710"/>
      <c r="BD1" s="710"/>
      <c r="BE1" s="710"/>
      <c r="BF1" s="710"/>
      <c r="BG1" s="710"/>
      <c r="BH1" s="710"/>
      <c r="BI1" s="710"/>
      <c r="BJ1" s="710"/>
      <c r="BK1" s="710"/>
      <c r="BL1" s="710"/>
      <c r="BM1" s="710"/>
      <c r="BN1" s="710"/>
    </row>
    <row r="2" spans="1:66" ht="18" customHeight="1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</row>
    <row r="3" spans="1:66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2"/>
      <c r="N3" s="72"/>
      <c r="O3" s="72"/>
      <c r="P3" s="72"/>
      <c r="Q3" s="72"/>
      <c r="R3" s="72"/>
    </row>
    <row r="4" spans="1:66" ht="18" customHeight="1">
      <c r="A4" s="79" t="s">
        <v>498</v>
      </c>
      <c r="B4" s="79"/>
      <c r="C4" s="82"/>
      <c r="D4" s="53"/>
      <c r="E4" s="80"/>
      <c r="F4" s="80"/>
      <c r="G4" s="80"/>
      <c r="H4" s="80"/>
      <c r="I4" s="80"/>
      <c r="J4" s="80"/>
      <c r="AX4" s="719" t="s">
        <v>134</v>
      </c>
      <c r="AY4" s="719"/>
      <c r="AZ4" s="719"/>
      <c r="BA4" s="719"/>
      <c r="BB4" s="718">
        <f>Município!H4</f>
        <v>45166</v>
      </c>
      <c r="BC4" s="718"/>
      <c r="BD4" s="718"/>
      <c r="BE4" s="718"/>
      <c r="BF4" s="718"/>
      <c r="BG4" s="718"/>
      <c r="BH4" s="718"/>
    </row>
    <row r="5" spans="1:66" ht="18" customHeight="1">
      <c r="A5" s="79" t="s">
        <v>135</v>
      </c>
      <c r="B5" s="79"/>
      <c r="C5" s="82" t="str">
        <f>Município!B5</f>
        <v>CBH DOCE</v>
      </c>
      <c r="D5" s="53"/>
      <c r="E5" s="80"/>
      <c r="F5" s="80"/>
      <c r="G5" s="80"/>
      <c r="H5" s="80"/>
      <c r="I5" s="80"/>
      <c r="J5" s="80"/>
      <c r="K5" s="53"/>
      <c r="L5" s="53"/>
      <c r="M5" s="72"/>
      <c r="N5" s="72"/>
      <c r="O5" s="72"/>
      <c r="P5" s="53"/>
      <c r="Q5" s="53"/>
      <c r="R5" s="53"/>
    </row>
    <row r="6" spans="1:66" ht="18" customHeight="1">
      <c r="A6" s="79" t="s">
        <v>136</v>
      </c>
      <c r="B6" s="79"/>
      <c r="C6" s="82" t="str">
        <f>Município!B6</f>
        <v>São Sebastião do Rio Preto/MG</v>
      </c>
      <c r="D6" s="53"/>
      <c r="E6" s="80"/>
      <c r="F6" s="80"/>
      <c r="G6" s="80"/>
      <c r="H6" s="80"/>
      <c r="I6" s="80"/>
      <c r="J6" s="80"/>
      <c r="K6" s="114"/>
      <c r="L6" s="115"/>
      <c r="M6" s="72"/>
      <c r="N6" s="72"/>
      <c r="O6" s="72"/>
      <c r="P6" s="72"/>
      <c r="Q6" s="53"/>
      <c r="R6" s="53"/>
    </row>
    <row r="7" spans="1:66" ht="15" customHeight="1">
      <c r="A7" s="53"/>
      <c r="B7" s="53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</row>
    <row r="8" spans="1:66" ht="19.5" customHeight="1">
      <c r="A8" s="717" t="s">
        <v>499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  <c r="BL8" s="717"/>
      <c r="BM8" s="717"/>
      <c r="BN8" s="717"/>
    </row>
    <row r="9" spans="1:66" ht="19.5" customHeight="1">
      <c r="A9" s="715" t="s">
        <v>500</v>
      </c>
      <c r="B9" s="714" t="s">
        <v>172</v>
      </c>
      <c r="C9" s="716"/>
      <c r="D9" s="724" t="s">
        <v>501</v>
      </c>
      <c r="E9" s="720" t="s">
        <v>502</v>
      </c>
      <c r="F9" s="721" t="s">
        <v>503</v>
      </c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5"/>
      <c r="AS9" s="725"/>
      <c r="AT9" s="725"/>
      <c r="AU9" s="725"/>
      <c r="AV9" s="725"/>
      <c r="AW9" s="725"/>
      <c r="AX9" s="725"/>
      <c r="AY9" s="725"/>
      <c r="AZ9" s="725"/>
      <c r="BA9" s="725"/>
      <c r="BB9" s="725"/>
      <c r="BC9" s="725"/>
      <c r="BD9" s="725"/>
      <c r="BE9" s="725"/>
      <c r="BF9" s="725"/>
      <c r="BG9" s="725"/>
      <c r="BH9" s="725"/>
      <c r="BI9" s="611"/>
      <c r="BJ9" s="611"/>
      <c r="BK9" s="611"/>
      <c r="BL9" s="611"/>
      <c r="BM9" s="611"/>
      <c r="BN9" s="611"/>
    </row>
    <row r="10" spans="1:66" ht="19.5" customHeight="1">
      <c r="A10" s="715"/>
      <c r="B10" s="714"/>
      <c r="C10" s="716"/>
      <c r="D10" s="724"/>
      <c r="E10" s="721"/>
      <c r="F10" s="454" t="s">
        <v>212</v>
      </c>
      <c r="G10" s="714">
        <v>1</v>
      </c>
      <c r="H10" s="715"/>
      <c r="I10" s="715"/>
      <c r="J10" s="715"/>
      <c r="K10" s="715"/>
      <c r="L10" s="716"/>
      <c r="M10" s="714">
        <v>2</v>
      </c>
      <c r="N10" s="715"/>
      <c r="O10" s="715"/>
      <c r="P10" s="715"/>
      <c r="Q10" s="715"/>
      <c r="R10" s="716"/>
      <c r="S10" s="714">
        <v>3</v>
      </c>
      <c r="T10" s="715"/>
      <c r="U10" s="715"/>
      <c r="V10" s="715"/>
      <c r="W10" s="715"/>
      <c r="X10" s="716"/>
      <c r="Y10" s="714">
        <v>4</v>
      </c>
      <c r="Z10" s="715"/>
      <c r="AA10" s="715"/>
      <c r="AB10" s="715"/>
      <c r="AC10" s="715"/>
      <c r="AD10" s="716"/>
      <c r="AE10" s="714">
        <v>5</v>
      </c>
      <c r="AF10" s="715"/>
      <c r="AG10" s="715"/>
      <c r="AH10" s="715"/>
      <c r="AI10" s="715"/>
      <c r="AJ10" s="716"/>
      <c r="AK10" s="714">
        <v>6</v>
      </c>
      <c r="AL10" s="715"/>
      <c r="AM10" s="715"/>
      <c r="AN10" s="715"/>
      <c r="AO10" s="715"/>
      <c r="AP10" s="716"/>
      <c r="AQ10" s="714">
        <v>7</v>
      </c>
      <c r="AR10" s="715"/>
      <c r="AS10" s="715"/>
      <c r="AT10" s="715"/>
      <c r="AU10" s="715"/>
      <c r="AV10" s="716"/>
      <c r="AW10" s="714">
        <v>8</v>
      </c>
      <c r="AX10" s="715"/>
      <c r="AY10" s="715"/>
      <c r="AZ10" s="715"/>
      <c r="BA10" s="715"/>
      <c r="BB10" s="716"/>
      <c r="BC10" s="714">
        <v>9</v>
      </c>
      <c r="BD10" s="715"/>
      <c r="BE10" s="715"/>
      <c r="BF10" s="715"/>
      <c r="BG10" s="715"/>
      <c r="BH10" s="716"/>
      <c r="BI10" s="714">
        <v>10</v>
      </c>
      <c r="BJ10" s="715"/>
      <c r="BK10" s="715"/>
      <c r="BL10" s="715"/>
      <c r="BM10" s="715"/>
      <c r="BN10" s="716"/>
    </row>
    <row r="11" spans="1:66" ht="32.25" customHeight="1">
      <c r="A11" s="722"/>
      <c r="B11" s="720"/>
      <c r="C11" s="723"/>
      <c r="D11" s="453" t="s">
        <v>384</v>
      </c>
      <c r="E11" s="453" t="s">
        <v>160</v>
      </c>
      <c r="F11" s="256" t="s">
        <v>212</v>
      </c>
      <c r="G11" s="592">
        <v>5</v>
      </c>
      <c r="H11" s="592">
        <v>10</v>
      </c>
      <c r="I11" s="592">
        <v>15</v>
      </c>
      <c r="J11" s="592">
        <v>20</v>
      </c>
      <c r="K11" s="592">
        <v>25</v>
      </c>
      <c r="L11" s="592">
        <v>30</v>
      </c>
      <c r="M11" s="592">
        <v>35</v>
      </c>
      <c r="N11" s="592">
        <v>40</v>
      </c>
      <c r="O11" s="592">
        <v>45</v>
      </c>
      <c r="P11" s="592">
        <v>50</v>
      </c>
      <c r="Q11" s="592">
        <v>55</v>
      </c>
      <c r="R11" s="592">
        <v>60</v>
      </c>
      <c r="S11" s="592">
        <v>65</v>
      </c>
      <c r="T11" s="592">
        <v>70</v>
      </c>
      <c r="U11" s="592">
        <v>75</v>
      </c>
      <c r="V11" s="592">
        <v>80</v>
      </c>
      <c r="W11" s="592">
        <v>85</v>
      </c>
      <c r="X11" s="592">
        <v>90</v>
      </c>
      <c r="Y11" s="592">
        <v>95</v>
      </c>
      <c r="Z11" s="592">
        <v>100</v>
      </c>
      <c r="AA11" s="592">
        <v>105</v>
      </c>
      <c r="AB11" s="592">
        <v>110</v>
      </c>
      <c r="AC11" s="592">
        <v>115</v>
      </c>
      <c r="AD11" s="592">
        <v>120</v>
      </c>
      <c r="AE11" s="592">
        <v>125</v>
      </c>
      <c r="AF11" s="592">
        <v>130</v>
      </c>
      <c r="AG11" s="592">
        <v>135</v>
      </c>
      <c r="AH11" s="592">
        <v>140</v>
      </c>
      <c r="AI11" s="592">
        <v>145</v>
      </c>
      <c r="AJ11" s="592">
        <v>150</v>
      </c>
      <c r="AK11" s="592">
        <v>155</v>
      </c>
      <c r="AL11" s="592">
        <v>160</v>
      </c>
      <c r="AM11" s="592">
        <v>165</v>
      </c>
      <c r="AN11" s="592">
        <v>170</v>
      </c>
      <c r="AO11" s="592">
        <v>175</v>
      </c>
      <c r="AP11" s="592">
        <v>180</v>
      </c>
      <c r="AQ11" s="592">
        <v>185</v>
      </c>
      <c r="AR11" s="592">
        <v>190</v>
      </c>
      <c r="AS11" s="592">
        <v>195</v>
      </c>
      <c r="AT11" s="592">
        <v>200</v>
      </c>
      <c r="AU11" s="592">
        <v>205</v>
      </c>
      <c r="AV11" s="592">
        <v>210</v>
      </c>
      <c r="AW11" s="592">
        <v>215</v>
      </c>
      <c r="AX11" s="592">
        <v>220</v>
      </c>
      <c r="AY11" s="592">
        <v>225</v>
      </c>
      <c r="AZ11" s="592">
        <v>230</v>
      </c>
      <c r="BA11" s="592">
        <v>235</v>
      </c>
      <c r="BB11" s="592">
        <v>240</v>
      </c>
      <c r="BC11" s="592">
        <v>245</v>
      </c>
      <c r="BD11" s="592">
        <v>250</v>
      </c>
      <c r="BE11" s="592">
        <v>255</v>
      </c>
      <c r="BF11" s="592">
        <v>260</v>
      </c>
      <c r="BG11" s="592">
        <v>265</v>
      </c>
      <c r="BH11" s="592">
        <v>270</v>
      </c>
      <c r="BI11" s="592">
        <v>275</v>
      </c>
      <c r="BJ11" s="592">
        <v>280</v>
      </c>
      <c r="BK11" s="592">
        <v>285</v>
      </c>
      <c r="BL11" s="592">
        <v>290</v>
      </c>
      <c r="BM11" s="592">
        <v>295</v>
      </c>
      <c r="BN11" s="592">
        <v>300</v>
      </c>
    </row>
    <row r="12" spans="1:66" ht="3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</row>
    <row r="13" spans="1:66" ht="22.5" customHeight="1">
      <c r="A13" s="258">
        <v>1</v>
      </c>
      <c r="B13" s="259" t="str">
        <f>'P1'!C2</f>
        <v>Plano de Trabalho</v>
      </c>
      <c r="C13" s="250"/>
      <c r="D13" s="260">
        <f>'P1'!I50</f>
        <v>9088.33</v>
      </c>
      <c r="E13" s="261">
        <f>D13/$D$32</f>
        <v>5.5649062615535885E-2</v>
      </c>
      <c r="F13" s="262"/>
      <c r="G13" s="265"/>
      <c r="H13" s="265"/>
      <c r="I13" s="246"/>
      <c r="J13" s="591"/>
      <c r="K13" s="270"/>
      <c r="L13" s="272"/>
      <c r="M13" s="272"/>
      <c r="N13" s="272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</row>
    <row r="14" spans="1:66" ht="6.6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</row>
    <row r="15" spans="1:66" ht="22.5" customHeight="1">
      <c r="A15" s="258">
        <v>2</v>
      </c>
      <c r="B15" s="259" t="str">
        <f>'P2'!C2</f>
        <v>Estudos Topográficos</v>
      </c>
      <c r="C15" s="250"/>
      <c r="D15" s="264">
        <f>'P2'!I50</f>
        <v>25484.489999999994</v>
      </c>
      <c r="E15" s="261">
        <f>D15/$D$32</f>
        <v>0.15604494772251865</v>
      </c>
      <c r="F15" s="263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6"/>
      <c r="R15" s="246"/>
      <c r="S15" s="591"/>
      <c r="T15" s="591"/>
      <c r="U15" s="591"/>
      <c r="V15" s="270"/>
      <c r="W15" s="270"/>
      <c r="X15" s="270"/>
      <c r="Y15" s="270"/>
      <c r="Z15" s="267"/>
      <c r="AA15" s="267"/>
      <c r="AB15" s="267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</row>
    <row r="16" spans="1:66" ht="7.5" customHeight="1"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</row>
    <row r="17" spans="1:66" ht="22.5" customHeight="1">
      <c r="A17" s="258">
        <v>3</v>
      </c>
      <c r="B17" s="259" t="str">
        <f>'P3'!C2</f>
        <v xml:space="preserve">Cadastro Técnico </v>
      </c>
      <c r="C17" s="250"/>
      <c r="D17" s="260">
        <f>'P3'!I50</f>
        <v>22466.1</v>
      </c>
      <c r="E17" s="261">
        <f>D17/$D$32</f>
        <v>0.13756294122538362</v>
      </c>
      <c r="F17" s="263"/>
      <c r="G17" s="245"/>
      <c r="H17" s="245"/>
      <c r="I17" s="245"/>
      <c r="J17" s="245"/>
      <c r="K17" s="245"/>
      <c r="L17" s="245"/>
      <c r="M17" s="245"/>
      <c r="N17" s="245"/>
      <c r="O17" s="245"/>
      <c r="P17" s="246"/>
      <c r="Q17" s="246"/>
      <c r="R17" s="246"/>
      <c r="S17" s="591"/>
      <c r="T17" s="591"/>
      <c r="U17" s="591"/>
      <c r="V17" s="270"/>
      <c r="W17" s="270"/>
      <c r="X17" s="270"/>
      <c r="Y17" s="270"/>
      <c r="Z17" s="267"/>
      <c r="AA17" s="267"/>
      <c r="AB17" s="267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</row>
    <row r="18" spans="1:66" ht="6.6" customHeight="1">
      <c r="A18" s="257"/>
      <c r="B18" s="257"/>
      <c r="C18" s="257"/>
      <c r="D18" s="266"/>
      <c r="E18" s="292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</row>
    <row r="19" spans="1:66" ht="22.5" customHeight="1">
      <c r="A19" s="258">
        <v>4</v>
      </c>
      <c r="B19" s="259" t="str">
        <f>'P4'!C2</f>
        <v>Estudo de Concepção</v>
      </c>
      <c r="C19" s="250"/>
      <c r="D19" s="260">
        <f>'P4'!I50</f>
        <v>18644.789999999997</v>
      </c>
      <c r="E19" s="261">
        <f>D19/$D$32</f>
        <v>0.11416454796024321</v>
      </c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46"/>
      <c r="AB19" s="246"/>
      <c r="AC19" s="591"/>
      <c r="AD19" s="591"/>
      <c r="AE19" s="591"/>
      <c r="AF19" s="270"/>
      <c r="AG19" s="270"/>
      <c r="AH19" s="270"/>
      <c r="AI19" s="267"/>
      <c r="AJ19" s="267"/>
      <c r="AK19" s="267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</row>
    <row r="20" spans="1:66" ht="6.6" customHeight="1">
      <c r="A20" s="257"/>
      <c r="B20" s="257"/>
      <c r="C20" s="257"/>
      <c r="D20" s="266"/>
      <c r="E20" s="292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</row>
    <row r="21" spans="1:66" ht="22.5" customHeight="1">
      <c r="A21" s="258">
        <v>5</v>
      </c>
      <c r="B21" s="259" t="str">
        <f>'P5'!C2</f>
        <v>Projeto Básico</v>
      </c>
      <c r="C21" s="250"/>
      <c r="D21" s="264">
        <f>'P5'!I50</f>
        <v>26054.13</v>
      </c>
      <c r="E21" s="261">
        <f>D21/$D$32</f>
        <v>0.15953292978614467</v>
      </c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6"/>
      <c r="AM21" s="246"/>
      <c r="AN21" s="246"/>
      <c r="AO21" s="591"/>
      <c r="AP21" s="591"/>
      <c r="AQ21" s="591"/>
      <c r="AR21" s="270"/>
      <c r="AS21" s="270"/>
      <c r="AT21" s="270"/>
      <c r="AU21" s="267"/>
      <c r="AV21" s="267"/>
      <c r="AW21" s="267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</row>
    <row r="22" spans="1:66" ht="6.6" customHeight="1">
      <c r="A22" s="257"/>
      <c r="B22" s="257"/>
      <c r="C22" s="257"/>
      <c r="D22" s="266"/>
      <c r="E22" s="292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</row>
    <row r="23" spans="1:66" ht="22.5" customHeight="1">
      <c r="A23" s="258">
        <v>6</v>
      </c>
      <c r="B23" s="259" t="str">
        <f>'P6'!C2</f>
        <v>Estudos Geotécnicos</v>
      </c>
      <c r="C23" s="250"/>
      <c r="D23" s="264">
        <f>'P6'!I50</f>
        <v>22329.05</v>
      </c>
      <c r="E23" s="261">
        <f>D23/$D$32</f>
        <v>0.13672376570782879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45"/>
      <c r="AA23" s="245"/>
      <c r="AB23" s="245"/>
      <c r="AC23" s="245"/>
      <c r="AD23" s="245"/>
      <c r="AE23" s="245"/>
      <c r="AF23" s="245"/>
      <c r="AG23" s="245"/>
      <c r="AH23" s="245"/>
      <c r="AI23" s="246"/>
      <c r="AJ23" s="246"/>
      <c r="AK23" s="246"/>
      <c r="AL23" s="591"/>
      <c r="AM23" s="591"/>
      <c r="AN23" s="591"/>
      <c r="AO23" s="270"/>
      <c r="AP23" s="270"/>
      <c r="AQ23" s="270"/>
      <c r="AR23" s="267"/>
      <c r="AS23" s="267"/>
      <c r="AT23" s="267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</row>
    <row r="24" spans="1:66" ht="6.6" customHeight="1">
      <c r="A24" s="257"/>
      <c r="B24" s="257"/>
      <c r="C24" s="257"/>
      <c r="D24" s="266"/>
      <c r="E24" s="292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</row>
    <row r="25" spans="1:66" ht="22.5" customHeight="1">
      <c r="A25" s="258">
        <v>7</v>
      </c>
      <c r="B25" s="259" t="str">
        <f>P7a!C2</f>
        <v>Estudo Ambiental PARTE 1</v>
      </c>
      <c r="C25" s="250"/>
      <c r="D25" s="264">
        <f>P7a!I50</f>
        <v>2604.9499999999998</v>
      </c>
      <c r="E25" s="261">
        <f>D25/$D$32</f>
        <v>1.5950457967562819E-2</v>
      </c>
      <c r="F25" s="263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46"/>
      <c r="AB25" s="246"/>
      <c r="AC25" s="591"/>
      <c r="AD25" s="591"/>
      <c r="AE25" s="591"/>
      <c r="AF25" s="270"/>
      <c r="AG25" s="270"/>
      <c r="AH25" s="270"/>
      <c r="AI25" s="267"/>
      <c r="AJ25" s="267"/>
      <c r="AK25" s="267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</row>
    <row r="26" spans="1:66" ht="6.6" customHeight="1">
      <c r="A26" s="257"/>
      <c r="B26" s="257"/>
      <c r="C26" s="257"/>
      <c r="D26" s="266"/>
      <c r="E26" s="292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1:66" ht="22.5" customHeight="1">
      <c r="A27" s="258">
        <v>7</v>
      </c>
      <c r="B27" s="259" t="str">
        <f>P7b!C2</f>
        <v>Estudo Ambiental PARTE 2</v>
      </c>
      <c r="C27" s="250"/>
      <c r="D27" s="264">
        <f>P7b!I50</f>
        <v>6937.32</v>
      </c>
      <c r="E27" s="261">
        <f>D27/$D$32</f>
        <v>4.2478140105388931E-2</v>
      </c>
      <c r="F27" s="263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6"/>
      <c r="AM27" s="246"/>
      <c r="AN27" s="246"/>
      <c r="AO27" s="591"/>
      <c r="AP27" s="591"/>
      <c r="AQ27" s="591"/>
      <c r="AR27" s="270"/>
      <c r="AS27" s="270"/>
      <c r="AT27" s="270"/>
      <c r="AU27" s="267"/>
      <c r="AV27" s="267"/>
      <c r="AW27" s="267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</row>
    <row r="28" spans="1:66" ht="6.6" customHeight="1">
      <c r="A28" s="257"/>
      <c r="B28" s="257"/>
      <c r="C28" s="257"/>
      <c r="D28" s="266"/>
      <c r="E28" s="292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</row>
    <row r="29" spans="1:66" ht="22.5" customHeight="1">
      <c r="A29" s="258">
        <v>8</v>
      </c>
      <c r="B29" s="259" t="str">
        <f>'P8'!C2</f>
        <v>Projeto Executivo</v>
      </c>
      <c r="C29" s="250"/>
      <c r="D29" s="260">
        <f>'P8'!I50</f>
        <v>29705.9</v>
      </c>
      <c r="E29" s="261">
        <f>D29/$D$32</f>
        <v>0.18189320690939342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6"/>
      <c r="AX29" s="246"/>
      <c r="AY29" s="246"/>
      <c r="AZ29" s="591"/>
      <c r="BA29" s="591"/>
      <c r="BB29" s="591"/>
      <c r="BC29" s="270"/>
      <c r="BD29" s="270"/>
      <c r="BE29" s="270"/>
      <c r="BF29" s="267"/>
      <c r="BG29" s="267"/>
      <c r="BH29" s="267"/>
      <c r="BI29" s="263"/>
      <c r="BJ29" s="263"/>
      <c r="BK29" s="263"/>
      <c r="BL29" s="263"/>
      <c r="BM29" s="263"/>
      <c r="BN29" s="263"/>
    </row>
    <row r="30" spans="1:66" ht="22.5" customHeight="1">
      <c r="A30" s="258" t="s">
        <v>212</v>
      </c>
      <c r="B30" s="259" t="s">
        <v>749</v>
      </c>
      <c r="C30" s="250"/>
      <c r="D30" s="260" t="s">
        <v>212</v>
      </c>
      <c r="E30" s="261" t="s">
        <v>212</v>
      </c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612"/>
      <c r="BJ30" s="612"/>
      <c r="BK30" s="612"/>
      <c r="BL30" s="613"/>
      <c r="BM30" s="613"/>
      <c r="BN30" s="613"/>
    </row>
    <row r="31" spans="1:66" ht="6.6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</row>
    <row r="32" spans="1:66" ht="22.15" customHeight="1">
      <c r="A32" s="717" t="s">
        <v>106</v>
      </c>
      <c r="B32" s="717"/>
      <c r="C32" s="717"/>
      <c r="D32" s="451">
        <f>ROUND(SUM(D13:D31),2)</f>
        <v>163315.06</v>
      </c>
      <c r="E32" s="452">
        <f>ROUND(SUM(E13:E31),2)</f>
        <v>1</v>
      </c>
      <c r="F32" s="452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7"/>
      <c r="AC32" s="717"/>
      <c r="AD32" s="717"/>
      <c r="AE32" s="717"/>
      <c r="AF32" s="717"/>
      <c r="AG32" s="717"/>
      <c r="AH32" s="717"/>
      <c r="AI32" s="717"/>
      <c r="AJ32" s="717"/>
      <c r="AK32" s="717"/>
      <c r="AL32" s="717"/>
      <c r="AM32" s="717"/>
      <c r="AN32" s="717"/>
      <c r="AO32" s="717"/>
      <c r="AP32" s="717"/>
      <c r="AQ32" s="717"/>
      <c r="AR32" s="717"/>
      <c r="AS32" s="717"/>
      <c r="AT32" s="717"/>
      <c r="AU32" s="717"/>
      <c r="AV32" s="717"/>
      <c r="AW32" s="717"/>
      <c r="AX32" s="717"/>
      <c r="AY32" s="717"/>
      <c r="AZ32" s="717"/>
      <c r="BA32" s="717"/>
      <c r="BB32" s="717"/>
      <c r="BC32" s="717"/>
      <c r="BD32" s="717"/>
      <c r="BE32" s="717"/>
      <c r="BF32" s="717"/>
      <c r="BG32" s="717"/>
      <c r="BH32" s="717"/>
      <c r="BI32" s="610"/>
      <c r="BJ32" s="610"/>
      <c r="BK32" s="610"/>
      <c r="BL32" s="610"/>
      <c r="BM32" s="610"/>
      <c r="BN32" s="610"/>
    </row>
    <row r="33" spans="1:56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6" s="42" customFormat="1" ht="22.15" customHeight="1">
      <c r="A34" s="56" t="s">
        <v>145</v>
      </c>
      <c r="B34" s="78"/>
      <c r="C34" s="78"/>
      <c r="D34" s="192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X34"/>
    </row>
    <row r="35" spans="1:56" ht="22.5" customHeight="1">
      <c r="A35" s="190"/>
      <c r="B35" s="268"/>
      <c r="C35" s="78" t="s">
        <v>504</v>
      </c>
      <c r="D35" s="192"/>
      <c r="E35" s="78"/>
      <c r="G35" s="270"/>
      <c r="H35" s="270"/>
      <c r="I35" s="78" t="s">
        <v>540</v>
      </c>
    </row>
    <row r="36" spans="1:56" ht="22.5" customHeight="1">
      <c r="A36" s="78"/>
      <c r="B36" s="269"/>
      <c r="C36" s="78" t="s">
        <v>541</v>
      </c>
      <c r="D36" s="192"/>
      <c r="E36" s="78"/>
      <c r="G36" s="272"/>
      <c r="H36" s="272"/>
      <c r="I36" s="78" t="s">
        <v>506</v>
      </c>
    </row>
    <row r="37" spans="1:56" ht="22.5" customHeight="1">
      <c r="A37" s="78"/>
      <c r="B37" s="271"/>
      <c r="C37" s="78" t="s">
        <v>542</v>
      </c>
      <c r="D37" s="192"/>
      <c r="E37" s="78"/>
      <c r="G37" s="614"/>
      <c r="H37" s="614"/>
      <c r="I37" s="78" t="s">
        <v>748</v>
      </c>
    </row>
    <row r="38" spans="1:56" ht="22.5" customHeight="1">
      <c r="A38" s="78"/>
      <c r="B38" s="591"/>
      <c r="C38" s="192" t="s">
        <v>505</v>
      </c>
      <c r="D38" s="192"/>
      <c r="E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56" ht="22.5" customHeight="1">
      <c r="A39" s="78"/>
      <c r="B39" s="615"/>
      <c r="C39" s="192"/>
      <c r="D39" s="192"/>
      <c r="E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56" ht="22.15" customHeight="1">
      <c r="A40" s="78"/>
      <c r="B40" s="78"/>
      <c r="C40" s="78"/>
      <c r="D40" s="192"/>
      <c r="E40" s="78"/>
      <c r="F40" s="190"/>
      <c r="G40" s="190"/>
      <c r="H40" s="78"/>
      <c r="I40" s="78"/>
      <c r="J40" s="78"/>
      <c r="K40" s="78"/>
      <c r="L40" s="78"/>
      <c r="M40" s="53"/>
      <c r="N40" s="53"/>
      <c r="O40" s="53"/>
      <c r="P40" s="53"/>
      <c r="Q40" s="53"/>
      <c r="R40" s="53"/>
    </row>
    <row r="41" spans="1:56">
      <c r="C41" s="707" t="s">
        <v>549</v>
      </c>
      <c r="D41" s="707"/>
      <c r="E41" s="707"/>
      <c r="F41" s="707"/>
      <c r="G41" s="125"/>
      <c r="H41" s="707" t="s">
        <v>550</v>
      </c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AA41" s="707" t="s">
        <v>553</v>
      </c>
      <c r="AB41" s="707"/>
      <c r="AC41" s="707"/>
      <c r="AD41" s="707"/>
      <c r="AE41" s="707"/>
      <c r="AF41" s="707"/>
      <c r="AG41" s="707"/>
      <c r="AH41" s="707"/>
      <c r="AI41" s="707"/>
      <c r="AJ41" s="707"/>
      <c r="AK41" s="707"/>
      <c r="AR41" s="707" t="s">
        <v>746</v>
      </c>
      <c r="AS41" s="707"/>
      <c r="AT41" s="707"/>
      <c r="AU41" s="707"/>
      <c r="AV41" s="707"/>
      <c r="AW41" s="707"/>
      <c r="AX41" s="707"/>
      <c r="AY41" s="707"/>
      <c r="AZ41" s="707"/>
      <c r="BA41" s="707"/>
      <c r="BB41" s="707"/>
      <c r="BC41" s="707"/>
      <c r="BD41" s="707"/>
    </row>
    <row r="42" spans="1:56">
      <c r="C42" s="708" t="s">
        <v>551</v>
      </c>
      <c r="D42" s="708"/>
      <c r="E42" s="708"/>
      <c r="F42" s="708"/>
      <c r="G42" s="125"/>
      <c r="H42" s="708" t="s">
        <v>551</v>
      </c>
      <c r="I42" s="708"/>
      <c r="J42" s="708"/>
      <c r="K42" s="708"/>
      <c r="L42" s="708"/>
      <c r="M42" s="708"/>
      <c r="N42" s="708"/>
      <c r="O42" s="708"/>
      <c r="P42" s="708"/>
      <c r="Q42" s="708"/>
      <c r="R42" s="708"/>
      <c r="S42" s="708"/>
      <c r="T42" s="708"/>
      <c r="AA42" s="708" t="s">
        <v>554</v>
      </c>
      <c r="AB42" s="708"/>
      <c r="AC42" s="708"/>
      <c r="AD42" s="708"/>
      <c r="AE42" s="708"/>
      <c r="AF42" s="708"/>
      <c r="AG42" s="708"/>
      <c r="AH42" s="708"/>
      <c r="AI42" s="708"/>
      <c r="AJ42" s="708"/>
      <c r="AK42" s="708"/>
      <c r="AR42" s="708" t="s">
        <v>543</v>
      </c>
      <c r="AS42" s="708"/>
      <c r="AT42" s="708"/>
      <c r="AU42" s="708"/>
      <c r="AV42" s="708"/>
      <c r="AW42" s="708"/>
      <c r="AX42" s="708"/>
      <c r="AY42" s="708"/>
      <c r="AZ42" s="708"/>
      <c r="BA42" s="708"/>
      <c r="BB42" s="708"/>
      <c r="BC42" s="708"/>
      <c r="BD42" s="708"/>
    </row>
    <row r="43" spans="1:56">
      <c r="C43" s="708" t="s">
        <v>552</v>
      </c>
      <c r="D43" s="708"/>
      <c r="E43" s="708"/>
      <c r="F43" s="708"/>
      <c r="G43" s="125"/>
      <c r="H43" s="708" t="s">
        <v>552</v>
      </c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AA43" s="708" t="s">
        <v>552</v>
      </c>
      <c r="AB43" s="708"/>
      <c r="AC43" s="708"/>
      <c r="AD43" s="708"/>
      <c r="AE43" s="708"/>
      <c r="AF43" s="708"/>
      <c r="AG43" s="708"/>
      <c r="AH43" s="708"/>
      <c r="AI43" s="708"/>
      <c r="AJ43" s="708"/>
      <c r="AK43" s="708"/>
      <c r="AR43" s="708" t="s">
        <v>552</v>
      </c>
      <c r="AS43" s="708"/>
      <c r="AT43" s="708"/>
      <c r="AU43" s="708"/>
      <c r="AV43" s="708"/>
      <c r="AW43" s="708"/>
      <c r="AX43" s="708"/>
      <c r="AY43" s="708"/>
      <c r="AZ43" s="708"/>
      <c r="BA43" s="708"/>
      <c r="BB43" s="708"/>
      <c r="BC43" s="708"/>
      <c r="BD43" s="708"/>
    </row>
    <row r="44" spans="1:56">
      <c r="C44" s="609"/>
      <c r="D44" s="609"/>
      <c r="E44" s="609"/>
      <c r="F44" s="609"/>
      <c r="G44" s="125"/>
      <c r="H44" s="125"/>
      <c r="I44" s="125"/>
      <c r="J44" s="125"/>
      <c r="K44" s="80"/>
      <c r="L44" s="446"/>
    </row>
    <row r="45" spans="1:56">
      <c r="G45" s="80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</row>
    <row r="46" spans="1:56">
      <c r="G46" s="80"/>
      <c r="H46" s="708"/>
      <c r="I46" s="708"/>
      <c r="J46" s="708"/>
      <c r="K46" s="708"/>
      <c r="L46" s="708"/>
      <c r="M46" s="708"/>
      <c r="N46" s="708"/>
      <c r="O46" s="708"/>
      <c r="P46" s="708"/>
      <c r="Q46" s="708"/>
      <c r="R46" s="708"/>
      <c r="S46" s="708"/>
      <c r="T46" s="708"/>
    </row>
    <row r="47" spans="1:56">
      <c r="G47" s="80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</row>
  </sheetData>
  <mergeCells count="37">
    <mergeCell ref="AR42:BD42"/>
    <mergeCell ref="AR43:BD43"/>
    <mergeCell ref="H41:T41"/>
    <mergeCell ref="H42:T42"/>
    <mergeCell ref="H43:T43"/>
    <mergeCell ref="H45:T45"/>
    <mergeCell ref="H46:T46"/>
    <mergeCell ref="H47:T47"/>
    <mergeCell ref="AA41:AK41"/>
    <mergeCell ref="AA42:AK42"/>
    <mergeCell ref="C41:F41"/>
    <mergeCell ref="C42:F42"/>
    <mergeCell ref="C43:F43"/>
    <mergeCell ref="AA43:AK43"/>
    <mergeCell ref="A9:A11"/>
    <mergeCell ref="B9:C11"/>
    <mergeCell ref="D9:D10"/>
    <mergeCell ref="F9:BH9"/>
    <mergeCell ref="G10:L10"/>
    <mergeCell ref="M10:R10"/>
    <mergeCell ref="S10:X10"/>
    <mergeCell ref="Y10:AD10"/>
    <mergeCell ref="AE10:AJ10"/>
    <mergeCell ref="AK10:AP10"/>
    <mergeCell ref="AQ10:AV10"/>
    <mergeCell ref="AR41:BD41"/>
    <mergeCell ref="BI10:BN10"/>
    <mergeCell ref="G32:BH32"/>
    <mergeCell ref="BB4:BH4"/>
    <mergeCell ref="AX4:BA4"/>
    <mergeCell ref="A1:BN2"/>
    <mergeCell ref="A32:C32"/>
    <mergeCell ref="C7:R7"/>
    <mergeCell ref="E9:E10"/>
    <mergeCell ref="AW10:BB10"/>
    <mergeCell ref="BC10:BH10"/>
    <mergeCell ref="A8:BN8"/>
  </mergeCells>
  <printOptions horizontalCentered="1"/>
  <pageMargins left="0.51181102362204722" right="0.51181102362204722" top="0.43307086614173229" bottom="0.78740157480314965" header="0.31496062992125984" footer="0.31496062992125984"/>
  <pageSetup paperSize="9" scale="5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250D-1BF3-41D3-A0B0-04B060790841}">
  <sheetPr>
    <tabColor theme="8" tint="-0.249977111117893"/>
    <pageSetUpPr fitToPage="1"/>
  </sheetPr>
  <dimension ref="A1:L18"/>
  <sheetViews>
    <sheetView showGridLines="0" view="pageBreakPreview" zoomScale="80" zoomScaleNormal="80" zoomScaleSheetLayoutView="80" workbookViewId="0">
      <selection activeCell="F26" sqref="F26"/>
    </sheetView>
  </sheetViews>
  <sheetFormatPr defaultColWidth="9.140625" defaultRowHeight="15.75"/>
  <cols>
    <col min="1" max="1" width="11.42578125" style="104" customWidth="1"/>
    <col min="2" max="2" width="42.140625" style="188" customWidth="1"/>
    <col min="3" max="3" width="28.140625" style="188" customWidth="1"/>
    <col min="4" max="4" width="14.140625" style="188" bestFit="1" customWidth="1"/>
    <col min="5" max="5" width="14.28515625" style="104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104" customWidth="1"/>
    <col min="16" max="16384" width="9.140625" style="104"/>
  </cols>
  <sheetData>
    <row r="1" spans="1:12" ht="32.450000000000003" customHeight="1">
      <c r="B1" s="726" t="str">
        <f>'P1'!C1</f>
        <v xml:space="preserve">ORÇAMENTO PARA ELABORAÇÃO DE PROJETO DE SISTEMA DE ESGOTAMENTO SANITÁRIO </v>
      </c>
      <c r="C1" s="727"/>
      <c r="D1" s="727"/>
      <c r="E1" s="727"/>
    </row>
    <row r="2" spans="1:12">
      <c r="A2" s="60"/>
      <c r="B2" s="248"/>
      <c r="C2" s="248"/>
      <c r="D2" s="248"/>
      <c r="E2" s="60"/>
    </row>
    <row r="3" spans="1:12" ht="22.5" customHeight="1">
      <c r="A3" s="59" t="s">
        <v>507</v>
      </c>
      <c r="B3" s="64"/>
      <c r="D3" s="62" t="s">
        <v>134</v>
      </c>
      <c r="E3" s="101">
        <f>Município!H4</f>
        <v>45166</v>
      </c>
    </row>
    <row r="4" spans="1:12" ht="22.5" customHeight="1">
      <c r="A4" s="59" t="s">
        <v>135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136</v>
      </c>
      <c r="B5" s="64" t="str">
        <f>Município!B6</f>
        <v>São Sebastião do Rio Preto/MG</v>
      </c>
      <c r="C5" s="64"/>
      <c r="D5" s="64"/>
      <c r="E5" s="60"/>
    </row>
    <row r="7" spans="1:12" s="179" customFormat="1" ht="33.6" customHeight="1">
      <c r="A7" s="728" t="s">
        <v>448</v>
      </c>
      <c r="B7" s="728"/>
      <c r="C7" s="728"/>
      <c r="D7" s="495" t="s">
        <v>508</v>
      </c>
      <c r="E7" s="496" t="s">
        <v>175</v>
      </c>
      <c r="F7"/>
      <c r="G7"/>
      <c r="H7"/>
      <c r="I7"/>
      <c r="J7"/>
      <c r="K7"/>
      <c r="L7"/>
    </row>
    <row r="8" spans="1:12" ht="22.5" customHeight="1">
      <c r="A8" s="244" t="s">
        <v>470</v>
      </c>
      <c r="B8" s="249" t="str">
        <f>Cronograma!B13</f>
        <v>Plano de Trabalho</v>
      </c>
      <c r="C8" s="251"/>
      <c r="D8" s="459">
        <f>E8/$E$17</f>
        <v>5.5649062615535885E-2</v>
      </c>
      <c r="E8" s="455">
        <f>Cronograma!D13</f>
        <v>9088.33</v>
      </c>
    </row>
    <row r="9" spans="1:12" ht="22.5" customHeight="1">
      <c r="A9" s="244" t="s">
        <v>489</v>
      </c>
      <c r="B9" s="249" t="str">
        <f>Cronograma!B15</f>
        <v>Estudos Topográficos</v>
      </c>
      <c r="C9" s="251"/>
      <c r="D9" s="459">
        <f>E9/$E$17</f>
        <v>0.15604494772251865</v>
      </c>
      <c r="E9" s="455">
        <f>Cronograma!D15</f>
        <v>25484.489999999994</v>
      </c>
    </row>
    <row r="10" spans="1:12" ht="22.5" customHeight="1">
      <c r="A10" s="244" t="s">
        <v>490</v>
      </c>
      <c r="B10" s="249" t="str">
        <f>Cronograma!B17</f>
        <v xml:space="preserve">Cadastro Técnico </v>
      </c>
      <c r="C10" s="251"/>
      <c r="D10" s="459">
        <f t="shared" ref="D10:D16" si="0">E10/$E$17</f>
        <v>0.13756294122538362</v>
      </c>
      <c r="E10" s="455">
        <f>Cronograma!D17</f>
        <v>22466.1</v>
      </c>
    </row>
    <row r="11" spans="1:12" ht="22.5" customHeight="1">
      <c r="A11" s="244" t="s">
        <v>491</v>
      </c>
      <c r="B11" s="249" t="str">
        <f>Cronograma!B19</f>
        <v>Estudo de Concepção</v>
      </c>
      <c r="C11" s="251"/>
      <c r="D11" s="459">
        <f t="shared" ref="D11" si="1">E11/$E$17</f>
        <v>0.11416454796024321</v>
      </c>
      <c r="E11" s="455">
        <f>Cronograma!D19</f>
        <v>18644.789999999997</v>
      </c>
    </row>
    <row r="12" spans="1:12" ht="22.5" customHeight="1">
      <c r="A12" s="244" t="s">
        <v>492</v>
      </c>
      <c r="B12" s="249" t="str">
        <f>Cronograma!B21</f>
        <v>Projeto Básico</v>
      </c>
      <c r="C12" s="251"/>
      <c r="D12" s="459">
        <f t="shared" si="0"/>
        <v>0.15953292978614467</v>
      </c>
      <c r="E12" s="455">
        <f>Cronograma!D21</f>
        <v>26054.13</v>
      </c>
    </row>
    <row r="13" spans="1:12" ht="22.5" customHeight="1">
      <c r="A13" s="244" t="s">
        <v>493</v>
      </c>
      <c r="B13" s="249" t="str">
        <f>Cronograma!B23</f>
        <v>Estudos Geotécnicos</v>
      </c>
      <c r="C13" s="251"/>
      <c r="D13" s="459">
        <f t="shared" si="0"/>
        <v>0.13672376570782879</v>
      </c>
      <c r="E13" s="455">
        <f>Cronograma!D23</f>
        <v>22329.05</v>
      </c>
    </row>
    <row r="14" spans="1:12" ht="22.5" customHeight="1">
      <c r="A14" s="244" t="s">
        <v>494</v>
      </c>
      <c r="B14" s="249" t="str">
        <f>Cronograma!B25</f>
        <v>Estudo Ambiental PARTE 1</v>
      </c>
      <c r="C14" s="251"/>
      <c r="D14" s="459">
        <f t="shared" ref="D14" si="2">E14/$E$17</f>
        <v>1.5950457967562819E-2</v>
      </c>
      <c r="E14" s="455">
        <f>Cronograma!D25</f>
        <v>2604.9499999999998</v>
      </c>
    </row>
    <row r="15" spans="1:12" ht="22.5" customHeight="1">
      <c r="A15" s="244" t="s">
        <v>494</v>
      </c>
      <c r="B15" s="249" t="str">
        <f>Cronograma!B27</f>
        <v>Estudo Ambiental PARTE 2</v>
      </c>
      <c r="C15" s="251"/>
      <c r="D15" s="459">
        <f t="shared" si="0"/>
        <v>4.2478140105388931E-2</v>
      </c>
      <c r="E15" s="455">
        <f>Cronograma!D27</f>
        <v>6937.32</v>
      </c>
    </row>
    <row r="16" spans="1:12" ht="22.5" customHeight="1">
      <c r="A16" s="244" t="s">
        <v>495</v>
      </c>
      <c r="B16" s="249" t="str">
        <f>Cronograma!B29</f>
        <v>Projeto Executivo</v>
      </c>
      <c r="C16" s="252"/>
      <c r="D16" s="460">
        <f t="shared" si="0"/>
        <v>0.18189320690939342</v>
      </c>
      <c r="E16" s="455">
        <f>Cronograma!D29</f>
        <v>29705.9</v>
      </c>
    </row>
    <row r="17" spans="1:5" ht="22.5" customHeight="1">
      <c r="A17" s="729"/>
      <c r="B17" s="729"/>
      <c r="C17" s="253" t="s">
        <v>465</v>
      </c>
      <c r="D17" s="255">
        <f>SUM(D8:D16)</f>
        <v>1</v>
      </c>
      <c r="E17" s="254">
        <f>SUM(E8:E16)</f>
        <v>163315.06</v>
      </c>
    </row>
    <row r="18" spans="1:5" ht="8.25" customHeight="1"/>
  </sheetData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637" t="s">
        <v>107</v>
      </c>
      <c r="B9" s="637"/>
      <c r="C9" s="637"/>
      <c r="D9" s="637"/>
      <c r="E9" s="637"/>
      <c r="F9" s="637"/>
      <c r="G9" s="637"/>
      <c r="H9" s="637"/>
    </row>
    <row r="10" spans="1:8" ht="12.75" customHeight="1">
      <c r="A10" s="638" t="s">
        <v>108</v>
      </c>
      <c r="B10" s="638"/>
      <c r="C10" s="638"/>
      <c r="D10" s="638"/>
      <c r="E10" s="638"/>
      <c r="F10" s="638"/>
      <c r="G10" s="638"/>
      <c r="H10" s="638"/>
    </row>
    <row r="11" spans="1:8" ht="13.5" thickBot="1">
      <c r="A11" s="638"/>
      <c r="B11" s="638"/>
      <c r="C11" s="638"/>
      <c r="D11" s="638"/>
      <c r="E11" s="638"/>
      <c r="F11" s="638"/>
      <c r="G11" s="638"/>
      <c r="H11" s="638"/>
    </row>
    <row r="12" spans="1:8" ht="13.5" thickBot="1">
      <c r="A12" s="37" t="s">
        <v>109</v>
      </c>
      <c r="B12" s="542" t="s">
        <v>110</v>
      </c>
      <c r="C12" s="639" t="s">
        <v>111</v>
      </c>
      <c r="D12" s="639"/>
      <c r="E12" s="639"/>
      <c r="F12" s="639"/>
      <c r="G12" s="639"/>
      <c r="H12" s="639"/>
    </row>
    <row r="13" spans="1:8">
      <c r="A13" s="543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631" t="s">
        <v>112</v>
      </c>
      <c r="B15" s="633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635"/>
      <c r="B16" s="636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631" t="s">
        <v>113</v>
      </c>
      <c r="B17" s="633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635"/>
      <c r="B18" s="636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631" t="s">
        <v>114</v>
      </c>
      <c r="B19" s="633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635"/>
      <c r="B20" s="636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631" t="s">
        <v>115</v>
      </c>
      <c r="B21" s="633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635"/>
      <c r="B22" s="636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631" t="s">
        <v>116</v>
      </c>
      <c r="B23" s="633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635"/>
      <c r="B24" s="636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631" t="s">
        <v>117</v>
      </c>
      <c r="B25" s="633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632"/>
      <c r="B26" s="634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544" t="s">
        <v>118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545" t="s">
        <v>119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545" t="s">
        <v>120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545" t="s">
        <v>121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J82"/>
  <sheetViews>
    <sheetView showGridLines="0" view="pageBreakPreview" zoomScaleNormal="100" zoomScaleSheetLayoutView="100" zoomScalePageLayoutView="55" workbookViewId="0">
      <selection activeCell="E6" sqref="E6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642" t="s">
        <v>122</v>
      </c>
      <c r="E1" s="642"/>
      <c r="F1" s="642"/>
      <c r="G1" s="642"/>
      <c r="H1" s="642"/>
      <c r="I1" s="642"/>
    </row>
    <row r="2" spans="1:10" ht="14.45" customHeight="1">
      <c r="D2" s="642"/>
      <c r="E2" s="642"/>
      <c r="F2" s="642"/>
      <c r="G2" s="642"/>
      <c r="H2" s="642"/>
      <c r="I2" s="642"/>
      <c r="J2" s="56"/>
    </row>
    <row r="3" spans="1:10" ht="14.45" customHeight="1">
      <c r="D3" s="642"/>
      <c r="E3" s="642"/>
      <c r="F3" s="642"/>
      <c r="G3" s="642"/>
      <c r="H3" s="642"/>
      <c r="I3" s="642"/>
      <c r="J3" s="56"/>
    </row>
    <row r="4" spans="1:10" ht="14.45" customHeight="1">
      <c r="D4" s="642"/>
      <c r="E4" s="642"/>
      <c r="F4" s="642"/>
      <c r="G4" s="642"/>
      <c r="H4" s="642"/>
      <c r="I4" s="642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641" t="s">
        <v>123</v>
      </c>
      <c r="B7" s="641"/>
      <c r="C7" s="640" t="s">
        <v>124</v>
      </c>
      <c r="D7" s="640"/>
      <c r="E7" s="640"/>
      <c r="F7" s="640"/>
      <c r="G7" s="640"/>
      <c r="H7" s="640"/>
      <c r="I7" s="640"/>
      <c r="J7" s="640"/>
    </row>
    <row r="8" spans="1:10" ht="14.45" customHeight="1">
      <c r="A8" s="641"/>
      <c r="B8" s="641"/>
      <c r="C8" s="640"/>
      <c r="D8" s="640"/>
      <c r="E8" s="640"/>
      <c r="F8" s="640"/>
      <c r="G8" s="640"/>
      <c r="H8" s="640"/>
      <c r="I8" s="640"/>
      <c r="J8" s="640"/>
    </row>
    <row r="9" spans="1:10" ht="14.45" customHeight="1">
      <c r="A9" s="641"/>
      <c r="B9" s="641"/>
      <c r="C9" s="640"/>
      <c r="D9" s="640"/>
      <c r="E9" s="640"/>
      <c r="F9" s="640"/>
      <c r="G9" s="640"/>
      <c r="H9" s="640"/>
      <c r="I9" s="640"/>
      <c r="J9" s="640"/>
    </row>
    <row r="10" spans="1:10" ht="14.45" customHeight="1">
      <c r="A10" s="641"/>
      <c r="B10" s="641"/>
      <c r="C10" s="640"/>
      <c r="D10" s="640"/>
      <c r="E10" s="640"/>
      <c r="F10" s="640"/>
      <c r="G10" s="640"/>
      <c r="H10" s="640"/>
      <c r="I10" s="640"/>
      <c r="J10" s="640"/>
    </row>
    <row r="11" spans="1:10" ht="14.45" customHeight="1">
      <c r="A11" s="641"/>
      <c r="B11" s="641"/>
      <c r="C11" s="640"/>
      <c r="D11" s="640"/>
      <c r="E11" s="640"/>
      <c r="F11" s="640"/>
      <c r="G11" s="640"/>
      <c r="H11" s="640"/>
      <c r="I11" s="640"/>
      <c r="J11" s="640"/>
    </row>
    <row r="12" spans="1:10" ht="14.45" customHeight="1">
      <c r="A12" s="641"/>
      <c r="B12" s="641"/>
      <c r="C12" s="640"/>
      <c r="D12" s="640"/>
      <c r="E12" s="640"/>
      <c r="F12" s="640"/>
      <c r="G12" s="640"/>
      <c r="H12" s="640"/>
      <c r="I12" s="640"/>
      <c r="J12" s="640"/>
    </row>
    <row r="13" spans="1:10" ht="14.45" customHeight="1">
      <c r="A13" s="641"/>
      <c r="B13" s="641"/>
      <c r="C13" s="640"/>
      <c r="D13" s="640"/>
      <c r="E13" s="640"/>
      <c r="F13" s="640"/>
      <c r="G13" s="640"/>
      <c r="H13" s="640"/>
      <c r="I13" s="640"/>
      <c r="J13" s="640"/>
    </row>
    <row r="14" spans="1:10" ht="14.45" customHeight="1">
      <c r="A14" s="471"/>
      <c r="B14" s="471"/>
      <c r="C14" s="472"/>
      <c r="D14" s="57"/>
      <c r="E14" s="57"/>
      <c r="F14" s="57"/>
      <c r="G14" s="57"/>
      <c r="H14" s="57"/>
      <c r="I14" s="57"/>
      <c r="J14" s="472"/>
    </row>
    <row r="15" spans="1:10" ht="14.45" customHeight="1">
      <c r="A15" s="641" t="s">
        <v>125</v>
      </c>
      <c r="B15" s="641"/>
      <c r="C15" s="640" t="s">
        <v>126</v>
      </c>
      <c r="D15" s="640"/>
      <c r="E15" s="640"/>
      <c r="F15" s="640"/>
      <c r="G15" s="640"/>
      <c r="H15" s="640"/>
      <c r="I15" s="640"/>
      <c r="J15" s="640"/>
    </row>
    <row r="16" spans="1:10" ht="14.45" customHeight="1">
      <c r="A16" s="641"/>
      <c r="B16" s="641"/>
      <c r="C16" s="640"/>
      <c r="D16" s="640"/>
      <c r="E16" s="640"/>
      <c r="F16" s="640"/>
      <c r="G16" s="640"/>
      <c r="H16" s="640"/>
      <c r="I16" s="640"/>
      <c r="J16" s="640"/>
    </row>
    <row r="17" spans="1:10" ht="14.45" customHeight="1">
      <c r="A17" s="641"/>
      <c r="B17" s="641"/>
      <c r="C17" s="640"/>
      <c r="D17" s="640"/>
      <c r="E17" s="640"/>
      <c r="F17" s="640"/>
      <c r="G17" s="640"/>
      <c r="H17" s="640"/>
      <c r="I17" s="640"/>
      <c r="J17" s="640"/>
    </row>
    <row r="18" spans="1:10" ht="14.45" customHeight="1">
      <c r="A18" s="641"/>
      <c r="B18" s="641"/>
      <c r="C18" s="640"/>
      <c r="D18" s="640"/>
      <c r="E18" s="640"/>
      <c r="F18" s="640"/>
      <c r="G18" s="640"/>
      <c r="H18" s="640"/>
      <c r="I18" s="640"/>
      <c r="J18" s="640"/>
    </row>
    <row r="19" spans="1:10" ht="14.45" customHeight="1">
      <c r="A19" s="641"/>
      <c r="B19" s="641"/>
      <c r="C19" s="640"/>
      <c r="D19" s="640"/>
      <c r="E19" s="640"/>
      <c r="F19" s="640"/>
      <c r="G19" s="640"/>
      <c r="H19" s="640"/>
      <c r="I19" s="640"/>
      <c r="J19" s="640"/>
    </row>
    <row r="20" spans="1:10" ht="14.45" customHeight="1">
      <c r="A20" s="641"/>
      <c r="B20" s="641"/>
      <c r="C20" s="640"/>
      <c r="D20" s="640"/>
      <c r="E20" s="640"/>
      <c r="F20" s="640"/>
      <c r="G20" s="640"/>
      <c r="H20" s="640"/>
      <c r="I20" s="640"/>
      <c r="J20" s="640"/>
    </row>
    <row r="21" spans="1:10" ht="14.45" customHeight="1">
      <c r="A21" s="641"/>
      <c r="B21" s="641"/>
      <c r="C21" s="640"/>
      <c r="D21" s="640"/>
      <c r="E21" s="640"/>
      <c r="F21" s="640"/>
      <c r="G21" s="640"/>
      <c r="H21" s="640"/>
      <c r="I21" s="640"/>
      <c r="J21" s="640"/>
    </row>
    <row r="22" spans="1:10" ht="14.45" customHeight="1">
      <c r="A22" s="641"/>
      <c r="B22" s="641"/>
      <c r="C22" s="640"/>
      <c r="D22" s="640"/>
      <c r="E22" s="640"/>
      <c r="F22" s="640"/>
      <c r="G22" s="640"/>
      <c r="H22" s="640"/>
      <c r="I22" s="640"/>
      <c r="J22" s="640"/>
    </row>
    <row r="23" spans="1:10" ht="14.45" customHeight="1">
      <c r="A23" s="641"/>
      <c r="B23" s="641"/>
      <c r="C23" s="640"/>
      <c r="D23" s="640"/>
      <c r="E23" s="640"/>
      <c r="F23" s="640"/>
      <c r="G23" s="640"/>
      <c r="H23" s="640"/>
      <c r="I23" s="640"/>
      <c r="J23" s="640"/>
    </row>
    <row r="24" spans="1:10" ht="14.45" customHeight="1">
      <c r="A24" s="471"/>
      <c r="B24" s="471"/>
      <c r="C24" s="472"/>
      <c r="D24" s="472"/>
      <c r="E24" s="57"/>
      <c r="F24" s="57"/>
      <c r="G24" s="57"/>
      <c r="H24" s="57"/>
      <c r="I24" s="57"/>
      <c r="J24" s="472"/>
    </row>
    <row r="25" spans="1:10" ht="14.45" customHeight="1">
      <c r="A25" s="641" t="s">
        <v>127</v>
      </c>
      <c r="B25" s="641"/>
      <c r="C25" s="640" t="s">
        <v>128</v>
      </c>
      <c r="D25" s="640"/>
      <c r="E25" s="640"/>
      <c r="F25" s="640"/>
      <c r="G25" s="640"/>
      <c r="H25" s="640"/>
      <c r="I25" s="640"/>
      <c r="J25" s="640"/>
    </row>
    <row r="26" spans="1:10" ht="14.45" customHeight="1">
      <c r="A26" s="641"/>
      <c r="B26" s="641"/>
      <c r="C26" s="640"/>
      <c r="D26" s="640"/>
      <c r="E26" s="640"/>
      <c r="F26" s="640"/>
      <c r="G26" s="640"/>
      <c r="H26" s="640"/>
      <c r="I26" s="640"/>
      <c r="J26" s="640"/>
    </row>
    <row r="27" spans="1:10" ht="14.45" customHeight="1">
      <c r="A27" s="641"/>
      <c r="B27" s="641"/>
      <c r="C27" s="640"/>
      <c r="D27" s="640"/>
      <c r="E27" s="640"/>
      <c r="F27" s="640"/>
      <c r="G27" s="640"/>
      <c r="H27" s="640"/>
      <c r="I27" s="640"/>
      <c r="J27" s="640"/>
    </row>
    <row r="28" spans="1:10" ht="14.45" customHeight="1">
      <c r="A28" s="641"/>
      <c r="B28" s="641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73"/>
      <c r="B29" s="473"/>
      <c r="C29" s="57"/>
      <c r="D29" s="57"/>
      <c r="E29" s="57"/>
      <c r="F29" s="57"/>
      <c r="G29" s="57"/>
      <c r="H29" s="57"/>
      <c r="I29" s="57"/>
      <c r="J29" s="57"/>
    </row>
    <row r="30" spans="1:10" ht="14.45" customHeight="1">
      <c r="A30" s="471"/>
      <c r="B30" s="471"/>
      <c r="C30" s="57"/>
      <c r="D30" s="57"/>
      <c r="E30" s="57"/>
      <c r="F30" s="57"/>
      <c r="G30" s="57"/>
      <c r="H30" s="57"/>
      <c r="I30" s="57"/>
      <c r="J30" s="57"/>
    </row>
    <row r="31" spans="1:10" ht="14.45" customHeight="1">
      <c r="A31" s="641" t="s">
        <v>129</v>
      </c>
      <c r="B31" s="641"/>
      <c r="C31" s="640" t="s">
        <v>130</v>
      </c>
      <c r="D31" s="640"/>
      <c r="E31" s="640"/>
      <c r="F31" s="640"/>
      <c r="G31" s="640"/>
      <c r="H31" s="640"/>
      <c r="I31" s="640"/>
      <c r="J31" s="640"/>
    </row>
    <row r="32" spans="1:10" ht="14.45" customHeight="1">
      <c r="A32" s="641"/>
      <c r="B32" s="641"/>
      <c r="C32" s="640"/>
      <c r="D32" s="640"/>
      <c r="E32" s="640"/>
      <c r="F32" s="640"/>
      <c r="G32" s="640"/>
      <c r="H32" s="640"/>
      <c r="I32" s="640"/>
      <c r="J32" s="640"/>
    </row>
    <row r="33" spans="1:10" ht="14.45" customHeight="1">
      <c r="A33" s="641"/>
      <c r="B33" s="641"/>
      <c r="C33" s="640"/>
      <c r="D33" s="640"/>
      <c r="E33" s="640"/>
      <c r="F33" s="640"/>
      <c r="G33" s="640"/>
      <c r="H33" s="640"/>
      <c r="I33" s="640"/>
      <c r="J33" s="640"/>
    </row>
    <row r="34" spans="1:10" ht="14.45" customHeight="1">
      <c r="A34" s="641"/>
      <c r="B34" s="641"/>
      <c r="C34" s="640"/>
      <c r="D34" s="640"/>
      <c r="E34" s="640"/>
      <c r="F34" s="640"/>
      <c r="G34" s="640"/>
      <c r="H34" s="640"/>
      <c r="I34" s="640"/>
      <c r="J34" s="640"/>
    </row>
    <row r="35" spans="1:10" ht="14.45" customHeight="1">
      <c r="A35" s="641"/>
      <c r="B35" s="641"/>
      <c r="C35" s="640"/>
      <c r="D35" s="640"/>
      <c r="E35" s="640"/>
      <c r="F35" s="640"/>
      <c r="G35" s="640"/>
      <c r="H35" s="640"/>
      <c r="I35" s="640"/>
      <c r="J35" s="640"/>
    </row>
    <row r="36" spans="1:10" ht="14.45" customHeight="1">
      <c r="A36" s="641"/>
      <c r="B36" s="641"/>
      <c r="C36" s="640"/>
      <c r="D36" s="640"/>
      <c r="E36" s="640"/>
      <c r="F36" s="640"/>
      <c r="G36" s="640"/>
      <c r="H36" s="640"/>
      <c r="I36" s="640"/>
      <c r="J36" s="640"/>
    </row>
    <row r="37" spans="1:10" ht="14.45" customHeight="1">
      <c r="A37" s="641"/>
      <c r="B37" s="641"/>
      <c r="C37" s="640"/>
      <c r="D37" s="640"/>
      <c r="E37" s="640"/>
      <c r="F37" s="640"/>
      <c r="G37" s="640"/>
      <c r="H37" s="640"/>
      <c r="I37" s="640"/>
      <c r="J37" s="640"/>
    </row>
    <row r="38" spans="1:10" ht="14.45" customHeight="1">
      <c r="A38" s="641"/>
      <c r="B38" s="641"/>
      <c r="C38" s="640"/>
      <c r="D38" s="640"/>
      <c r="E38" s="640"/>
      <c r="F38" s="640"/>
      <c r="G38" s="640"/>
      <c r="H38" s="640"/>
      <c r="I38" s="640"/>
      <c r="J38" s="640"/>
    </row>
    <row r="39" spans="1:10" ht="14.45" customHeight="1">
      <c r="A39" s="641"/>
      <c r="B39" s="641"/>
      <c r="C39" s="640"/>
      <c r="D39" s="640"/>
      <c r="E39" s="640"/>
      <c r="F39" s="640"/>
      <c r="G39" s="640"/>
      <c r="H39" s="640"/>
      <c r="I39" s="640"/>
      <c r="J39" s="640"/>
    </row>
    <row r="40" spans="1:10" ht="14.45" customHeight="1">
      <c r="A40" s="641"/>
      <c r="B40" s="641"/>
      <c r="C40" s="640"/>
      <c r="D40" s="640"/>
      <c r="E40" s="640"/>
      <c r="F40" s="640"/>
      <c r="G40" s="640"/>
      <c r="H40" s="640"/>
      <c r="I40" s="640"/>
      <c r="J40" s="640"/>
    </row>
    <row r="41" spans="1:10" ht="14.45" customHeight="1">
      <c r="C41" s="57"/>
      <c r="D41" s="57"/>
      <c r="E41" s="57"/>
      <c r="F41" s="57"/>
      <c r="G41" s="57"/>
      <c r="H41" s="57"/>
      <c r="I41" s="57"/>
      <c r="J41" s="57"/>
    </row>
    <row r="42" spans="1:10" ht="14.45" customHeight="1">
      <c r="A42" s="641" t="s">
        <v>131</v>
      </c>
      <c r="B42" s="641"/>
      <c r="C42" s="640" t="s">
        <v>132</v>
      </c>
      <c r="D42" s="640"/>
      <c r="E42" s="640"/>
      <c r="F42" s="640"/>
      <c r="G42" s="640"/>
      <c r="H42" s="640"/>
      <c r="I42" s="640"/>
      <c r="J42" s="640"/>
    </row>
    <row r="43" spans="1:10" ht="14.45" customHeight="1">
      <c r="A43" s="641"/>
      <c r="B43" s="641"/>
      <c r="C43" s="640"/>
      <c r="D43" s="640"/>
      <c r="E43" s="640"/>
      <c r="F43" s="640"/>
      <c r="G43" s="640"/>
      <c r="H43" s="640"/>
      <c r="I43" s="640"/>
      <c r="J43" s="640"/>
    </row>
    <row r="44" spans="1:10" ht="14.45" customHeight="1">
      <c r="A44" s="641"/>
      <c r="B44" s="641"/>
      <c r="C44" s="640"/>
      <c r="D44" s="640"/>
      <c r="E44" s="640"/>
      <c r="F44" s="640"/>
      <c r="G44" s="640"/>
      <c r="H44" s="640"/>
      <c r="I44" s="640"/>
      <c r="J44" s="640"/>
    </row>
    <row r="45" spans="1:10" ht="14.45" customHeight="1">
      <c r="A45" s="641"/>
      <c r="B45" s="641"/>
      <c r="C45" s="640"/>
      <c r="D45" s="640"/>
      <c r="E45" s="640"/>
      <c r="F45" s="640"/>
      <c r="G45" s="640"/>
      <c r="H45" s="640"/>
      <c r="I45" s="640"/>
      <c r="J45" s="640"/>
    </row>
    <row r="46" spans="1:10" ht="14.45" customHeight="1">
      <c r="A46" s="641"/>
      <c r="B46" s="641"/>
      <c r="C46" s="640"/>
      <c r="D46" s="640"/>
      <c r="E46" s="640"/>
      <c r="F46" s="640"/>
      <c r="G46" s="640"/>
      <c r="H46" s="640"/>
      <c r="I46" s="640"/>
      <c r="J46" s="640"/>
    </row>
    <row r="47" spans="1:10" ht="14.45" customHeight="1">
      <c r="A47" s="641"/>
      <c r="B47" s="641"/>
      <c r="C47" s="640"/>
      <c r="D47" s="640"/>
      <c r="E47" s="640"/>
      <c r="F47" s="640"/>
      <c r="G47" s="640"/>
      <c r="H47" s="640"/>
      <c r="I47" s="640"/>
      <c r="J47" s="640"/>
    </row>
    <row r="48" spans="1:10" ht="14.45" customHeight="1">
      <c r="A48" s="641"/>
      <c r="B48" s="641"/>
      <c r="C48" s="640"/>
      <c r="D48" s="640"/>
      <c r="E48" s="640"/>
      <c r="F48" s="640"/>
      <c r="G48" s="640"/>
      <c r="H48" s="640"/>
      <c r="I48" s="640"/>
      <c r="J48" s="640"/>
    </row>
    <row r="49" spans="3:10" ht="14.45" customHeight="1">
      <c r="C49" s="640"/>
      <c r="D49" s="640"/>
      <c r="E49" s="640"/>
      <c r="F49" s="640"/>
      <c r="G49" s="640"/>
      <c r="H49" s="640"/>
      <c r="I49" s="640"/>
      <c r="J49" s="640"/>
    </row>
    <row r="50" spans="3:10" ht="14.45" customHeight="1">
      <c r="C50" s="640"/>
      <c r="D50" s="640"/>
      <c r="E50" s="640"/>
      <c r="F50" s="640"/>
      <c r="G50" s="640"/>
      <c r="H50" s="640"/>
      <c r="I50" s="640"/>
      <c r="J50" s="640"/>
    </row>
    <row r="51" spans="3:10" ht="14.45" customHeight="1">
      <c r="C51" s="58"/>
      <c r="D51" s="58"/>
      <c r="E51" s="58"/>
      <c r="F51" s="58"/>
      <c r="G51" s="58"/>
      <c r="H51" s="58"/>
      <c r="I51" s="58"/>
      <c r="J51" s="58"/>
    </row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</sheetData>
  <mergeCells count="11">
    <mergeCell ref="C42:J50"/>
    <mergeCell ref="A42:B48"/>
    <mergeCell ref="D1:I4"/>
    <mergeCell ref="C25:J27"/>
    <mergeCell ref="C31:J40"/>
    <mergeCell ref="A31:B40"/>
    <mergeCell ref="A7:B13"/>
    <mergeCell ref="C15:J23"/>
    <mergeCell ref="A15:B23"/>
    <mergeCell ref="C7:J13"/>
    <mergeCell ref="A25:B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fitToPage="1"/>
  </sheetPr>
  <dimension ref="A1:K28"/>
  <sheetViews>
    <sheetView showGridLines="0" view="pageBreakPreview" zoomScaleNormal="130" zoomScaleSheetLayoutView="100" zoomScalePageLayoutView="40" workbookViewId="0">
      <selection activeCell="B3" sqref="B3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5.855468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642" t="s">
        <v>0</v>
      </c>
      <c r="B1" s="642"/>
      <c r="C1" s="642"/>
      <c r="D1" s="642"/>
      <c r="E1" s="642"/>
      <c r="F1" s="642"/>
      <c r="G1" s="642"/>
      <c r="H1" s="642"/>
      <c r="I1" s="56"/>
      <c r="J1" s="56"/>
      <c r="K1" s="56"/>
    </row>
    <row r="2" spans="1:11" ht="19.899999999999999" customHeight="1">
      <c r="A2" s="642"/>
      <c r="B2" s="642"/>
      <c r="C2" s="642"/>
      <c r="D2" s="642"/>
      <c r="E2" s="642"/>
      <c r="F2" s="642"/>
      <c r="G2" s="642"/>
      <c r="H2" s="642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133</v>
      </c>
      <c r="B4" s="60"/>
      <c r="C4" s="60"/>
      <c r="F4" s="60"/>
      <c r="G4" s="62" t="s">
        <v>134</v>
      </c>
      <c r="H4" s="289">
        <f>Capa!C51</f>
        <v>45166</v>
      </c>
      <c r="I4" s="191"/>
    </row>
    <row r="5" spans="1:11" ht="19.899999999999999" customHeight="1">
      <c r="A5" s="59" t="s">
        <v>135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136</v>
      </c>
      <c r="B6" s="64" t="str">
        <f>Capa!B30</f>
        <v>São Sebastião do Rio Preto/MG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643" t="s">
        <v>137</v>
      </c>
      <c r="B8" s="643"/>
      <c r="C8" s="474" t="s">
        <v>138</v>
      </c>
      <c r="D8" s="474" t="s">
        <v>139</v>
      </c>
      <c r="E8" s="474" t="s">
        <v>140</v>
      </c>
      <c r="F8" s="68"/>
      <c r="I8" s="69"/>
      <c r="J8" s="69"/>
      <c r="K8" s="69"/>
    </row>
    <row r="9" spans="1:11">
      <c r="A9" s="644" t="s">
        <v>141</v>
      </c>
      <c r="B9" s="644"/>
      <c r="C9" s="500" t="s">
        <v>142</v>
      </c>
      <c r="D9" s="327"/>
      <c r="E9" s="327"/>
      <c r="F9" s="68"/>
      <c r="I9" s="69"/>
      <c r="J9" s="69"/>
      <c r="K9" s="69"/>
    </row>
    <row r="10" spans="1:11" ht="19.899999999999999" customHeight="1">
      <c r="A10" s="193" t="s">
        <v>143</v>
      </c>
      <c r="B10" s="193"/>
      <c r="C10" s="285">
        <v>1259</v>
      </c>
      <c r="D10" s="194" t="s">
        <v>144</v>
      </c>
      <c r="E10" s="194" t="s">
        <v>547</v>
      </c>
      <c r="F10" s="71"/>
      <c r="G10" s="68" t="s">
        <v>145</v>
      </c>
      <c r="H10" s="69"/>
      <c r="I10" s="69"/>
      <c r="J10" s="69"/>
      <c r="K10" s="69"/>
    </row>
    <row r="11" spans="1:11" ht="19.899999999999999" customHeight="1">
      <c r="A11" s="193" t="s">
        <v>146</v>
      </c>
      <c r="B11" s="193"/>
      <c r="C11" s="285">
        <v>1254</v>
      </c>
      <c r="D11" s="194" t="s">
        <v>144</v>
      </c>
      <c r="E11" s="194" t="s">
        <v>547</v>
      </c>
      <c r="F11" s="71"/>
      <c r="G11" s="277"/>
      <c r="H11" s="70" t="s">
        <v>147</v>
      </c>
      <c r="I11" s="69"/>
      <c r="J11" s="69"/>
      <c r="K11" s="69"/>
    </row>
    <row r="12" spans="1:11" ht="19.899999999999999" customHeight="1">
      <c r="A12" s="193" t="s">
        <v>148</v>
      </c>
      <c r="B12" s="193"/>
      <c r="C12" s="285">
        <v>1629</v>
      </c>
      <c r="D12" s="194" t="s">
        <v>144</v>
      </c>
      <c r="E12" s="194" t="s">
        <v>547</v>
      </c>
      <c r="F12" s="71"/>
      <c r="G12" s="282"/>
      <c r="H12" s="70" t="s">
        <v>149</v>
      </c>
      <c r="I12" s="69"/>
      <c r="J12" s="69"/>
      <c r="K12" s="69"/>
    </row>
    <row r="13" spans="1:11" ht="19.899999999999999" customHeight="1">
      <c r="A13" s="193" t="s">
        <v>150</v>
      </c>
      <c r="B13" s="193"/>
      <c r="C13" s="606">
        <f>(C12*C11)/C10</f>
        <v>1622.5305798252582</v>
      </c>
      <c r="D13" s="194" t="s">
        <v>144</v>
      </c>
      <c r="E13" s="194" t="s">
        <v>149</v>
      </c>
      <c r="F13" s="71"/>
      <c r="G13" s="69"/>
      <c r="H13" s="69"/>
      <c r="I13" s="69"/>
      <c r="J13" s="69"/>
      <c r="K13" s="69"/>
    </row>
    <row r="14" spans="1:11" ht="19.899999999999999" customHeight="1">
      <c r="A14" s="195" t="s">
        <v>151</v>
      </c>
      <c r="B14" s="195"/>
      <c r="C14" s="326">
        <v>128.00200000000001</v>
      </c>
      <c r="D14" s="194" t="s">
        <v>152</v>
      </c>
      <c r="E14" s="194" t="s">
        <v>546</v>
      </c>
      <c r="F14" s="71"/>
      <c r="G14" s="69"/>
      <c r="H14" s="325"/>
      <c r="I14" s="69"/>
      <c r="J14" s="69"/>
      <c r="K14" s="69"/>
    </row>
    <row r="15" spans="1:11" ht="19.899999999999999" customHeight="1">
      <c r="A15" s="193" t="s">
        <v>153</v>
      </c>
      <c r="B15" s="193"/>
      <c r="C15" s="346">
        <f>1.13+0.38</f>
        <v>1.5099999999999998</v>
      </c>
      <c r="D15" s="194" t="s">
        <v>152</v>
      </c>
      <c r="E15" s="194" t="s">
        <v>154</v>
      </c>
      <c r="F15" s="71"/>
      <c r="G15" s="325"/>
      <c r="H15" s="69"/>
      <c r="I15" s="69"/>
      <c r="J15" s="69"/>
      <c r="K15" s="69"/>
    </row>
    <row r="16" spans="1:11" ht="19.899999999999999" customHeight="1">
      <c r="A16" s="193" t="s">
        <v>155</v>
      </c>
      <c r="B16" s="193"/>
      <c r="C16" s="284">
        <v>2.95</v>
      </c>
      <c r="D16" s="194" t="s">
        <v>156</v>
      </c>
      <c r="E16" s="194" t="s">
        <v>547</v>
      </c>
      <c r="F16" s="71"/>
      <c r="G16" s="69"/>
      <c r="H16" s="69"/>
      <c r="I16" s="69"/>
      <c r="J16" s="69"/>
      <c r="K16" s="69"/>
    </row>
    <row r="17" spans="1:11" ht="19.899999999999999" customHeight="1">
      <c r="A17" s="193" t="s">
        <v>157</v>
      </c>
      <c r="B17" s="193"/>
      <c r="C17" s="283">
        <v>298</v>
      </c>
      <c r="D17" s="194" t="s">
        <v>158</v>
      </c>
      <c r="E17" s="194" t="s">
        <v>547</v>
      </c>
      <c r="F17" s="71"/>
      <c r="G17" s="69"/>
      <c r="H17" s="69"/>
      <c r="I17" s="69"/>
      <c r="J17" s="69"/>
      <c r="K17" s="69"/>
    </row>
    <row r="18" spans="1:11" ht="19.899999999999999" customHeight="1">
      <c r="A18" s="193" t="s">
        <v>159</v>
      </c>
      <c r="B18" s="193"/>
      <c r="C18" s="328">
        <v>0.189</v>
      </c>
      <c r="D18" s="194" t="s">
        <v>160</v>
      </c>
      <c r="E18" s="194" t="s">
        <v>547</v>
      </c>
      <c r="F18" s="71"/>
      <c r="G18" s="69"/>
      <c r="H18" s="69"/>
      <c r="I18" s="69"/>
      <c r="J18" s="69"/>
      <c r="K18" s="69"/>
    </row>
    <row r="19" spans="1:11" ht="19.899999999999999" customHeight="1">
      <c r="A19" s="193" t="s">
        <v>161</v>
      </c>
      <c r="B19" s="193"/>
      <c r="C19" s="285">
        <v>298</v>
      </c>
      <c r="D19" s="194" t="s">
        <v>158</v>
      </c>
      <c r="E19" s="194" t="s">
        <v>547</v>
      </c>
      <c r="F19" s="71"/>
      <c r="G19" s="69"/>
      <c r="H19" s="69"/>
      <c r="I19" s="69"/>
      <c r="J19" s="69"/>
      <c r="K19" s="69"/>
    </row>
    <row r="20" spans="1:11" ht="19.899999999999999" customHeight="1">
      <c r="A20" s="193" t="s">
        <v>162</v>
      </c>
      <c r="B20" s="193"/>
      <c r="C20" s="470">
        <f>C19*C18</f>
        <v>56.322000000000003</v>
      </c>
      <c r="D20" s="194" t="s">
        <v>158</v>
      </c>
      <c r="E20" s="194" t="s">
        <v>149</v>
      </c>
      <c r="F20" s="71"/>
      <c r="G20" s="69"/>
      <c r="H20" s="69"/>
      <c r="I20" s="69"/>
      <c r="J20" s="69"/>
      <c r="K20" s="69"/>
    </row>
    <row r="21" spans="1:11" ht="19.899999999999999" customHeight="1">
      <c r="A21" s="193" t="s">
        <v>163</v>
      </c>
      <c r="B21" s="193"/>
      <c r="C21" s="323">
        <v>10.3</v>
      </c>
      <c r="D21" s="194" t="s">
        <v>164</v>
      </c>
      <c r="E21" s="194" t="s">
        <v>545</v>
      </c>
      <c r="F21" s="71"/>
      <c r="G21" s="69"/>
      <c r="H21" s="69"/>
      <c r="I21" s="69"/>
      <c r="J21" s="69"/>
      <c r="K21" s="69"/>
    </row>
    <row r="22" spans="1:11" ht="19.899999999999999" customHeight="1">
      <c r="A22" s="345" t="s">
        <v>165</v>
      </c>
      <c r="B22" s="345"/>
      <c r="C22" s="283">
        <f>ROUND(C24/0.08,0)</f>
        <v>7</v>
      </c>
      <c r="D22" s="194" t="s">
        <v>158</v>
      </c>
      <c r="E22" s="194" t="s">
        <v>149</v>
      </c>
      <c r="F22" s="71"/>
      <c r="G22" s="69"/>
      <c r="H22" s="69"/>
      <c r="I22" s="69"/>
      <c r="J22" s="69"/>
      <c r="K22" s="69"/>
    </row>
    <row r="23" spans="1:11" ht="19.899999999999999" customHeight="1">
      <c r="A23" s="274" t="s">
        <v>166</v>
      </c>
      <c r="B23" s="274"/>
      <c r="C23" s="324">
        <f>C13</f>
        <v>1622.5305798252582</v>
      </c>
      <c r="D23" s="194" t="s">
        <v>144</v>
      </c>
      <c r="E23" s="194" t="s">
        <v>149</v>
      </c>
      <c r="F23" s="71"/>
      <c r="G23" s="69"/>
      <c r="H23" s="69"/>
      <c r="I23" s="69"/>
      <c r="J23" s="69"/>
      <c r="K23" s="69"/>
    </row>
    <row r="24" spans="1:11" ht="19.899999999999999" customHeight="1">
      <c r="A24" s="275" t="s">
        <v>167</v>
      </c>
      <c r="B24" s="275"/>
      <c r="C24" s="281">
        <f>(C19*C18*C21)/1000</f>
        <v>0.58011660000000009</v>
      </c>
      <c r="D24" s="194" t="s">
        <v>168</v>
      </c>
      <c r="E24" s="194" t="s">
        <v>149</v>
      </c>
      <c r="F24" s="71"/>
      <c r="G24" s="69"/>
      <c r="H24" s="69"/>
      <c r="I24" s="69"/>
      <c r="J24" s="69"/>
      <c r="K24" s="69"/>
    </row>
    <row r="25" spans="1:11" ht="19.899999999999999" customHeight="1">
      <c r="A25" s="275" t="s">
        <v>169</v>
      </c>
      <c r="B25" s="275"/>
      <c r="C25" s="607">
        <f>((C21*C19)/1000)-C24</f>
        <v>2.4892833999999997</v>
      </c>
      <c r="D25" s="194" t="s">
        <v>168</v>
      </c>
      <c r="E25" s="194" t="s">
        <v>149</v>
      </c>
      <c r="F25" s="68"/>
      <c r="G25" s="69"/>
      <c r="H25" s="69"/>
      <c r="I25" s="69"/>
      <c r="J25" s="69"/>
      <c r="K25" s="69"/>
    </row>
    <row r="26" spans="1:11" ht="19.899999999999999" customHeight="1">
      <c r="A26" s="645" t="s">
        <v>544</v>
      </c>
      <c r="B26" s="645"/>
      <c r="C26" s="645"/>
      <c r="D26" s="645"/>
      <c r="E26" s="645"/>
      <c r="F26" s="645"/>
      <c r="G26" s="645"/>
      <c r="H26" s="645"/>
    </row>
    <row r="27" spans="1:11" s="73" customFormat="1" ht="19.899999999999999" customHeight="1">
      <c r="A27" s="645"/>
      <c r="B27" s="645"/>
      <c r="C27" s="645"/>
      <c r="D27" s="645"/>
      <c r="E27" s="645"/>
      <c r="F27" s="645"/>
      <c r="G27" s="645"/>
      <c r="H27" s="645"/>
    </row>
    <row r="28" spans="1:11" ht="19.899999999999999" customHeight="1">
      <c r="A28" s="74"/>
      <c r="B28" s="74"/>
      <c r="C28" s="74"/>
      <c r="D28" s="74"/>
      <c r="E28" s="74"/>
    </row>
  </sheetData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2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O111"/>
  <sheetViews>
    <sheetView showGridLines="0" view="pageBreakPreview" zoomScale="70" zoomScaleSheetLayoutView="70" workbookViewId="0">
      <selection activeCell="B17" sqref="B17"/>
    </sheetView>
  </sheetViews>
  <sheetFormatPr defaultColWidth="9.140625" defaultRowHeight="12.75" customHeight="1" zeroHeight="1"/>
  <cols>
    <col min="1" max="1" width="14" style="356" customWidth="1"/>
    <col min="2" max="2" width="4.7109375" style="356" customWidth="1"/>
    <col min="3" max="3" width="56.85546875" style="356" customWidth="1"/>
    <col min="4" max="4" width="15.42578125" style="417" customWidth="1"/>
    <col min="5" max="5" width="10.5703125" style="417" customWidth="1"/>
    <col min="6" max="6" width="12.85546875" style="417" bestFit="1" customWidth="1"/>
    <col min="7" max="7" width="11.42578125" style="360" bestFit="1" customWidth="1"/>
    <col min="8" max="8" width="10.42578125" style="360" bestFit="1" customWidth="1"/>
    <col min="9" max="9" width="14" style="360" customWidth="1"/>
    <col min="10" max="10" width="14" style="419" customWidth="1"/>
    <col min="11" max="11" width="2.7109375" style="356" customWidth="1"/>
    <col min="12" max="12" width="14.7109375" style="565" customWidth="1"/>
    <col min="13" max="13" width="14.5703125" style="356" customWidth="1"/>
    <col min="14" max="14" width="14.7109375" style="565" customWidth="1"/>
    <col min="15" max="15" width="13.5703125" style="356" customWidth="1"/>
    <col min="16" max="16384" width="9.140625" style="356"/>
  </cols>
  <sheetData>
    <row r="1" spans="1:15" ht="19.899999999999999" customHeight="1">
      <c r="A1" s="648" t="s">
        <v>170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5" ht="19.899999999999999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</row>
    <row r="3" spans="1:15" ht="19.899999999999999" customHeight="1">
      <c r="A3" s="358" t="s">
        <v>171</v>
      </c>
      <c r="B3" s="358"/>
      <c r="C3" s="359"/>
      <c r="D3" s="356"/>
      <c r="E3" s="359"/>
      <c r="F3" s="359"/>
      <c r="G3" s="359"/>
      <c r="I3" s="361" t="s">
        <v>134</v>
      </c>
      <c r="J3" s="362">
        <f>Município!H4</f>
        <v>45166</v>
      </c>
    </row>
    <row r="4" spans="1:15" ht="19.899999999999999" customHeight="1">
      <c r="A4" s="358" t="s">
        <v>135</v>
      </c>
      <c r="B4" s="358"/>
      <c r="C4" s="363" t="str">
        <f>Município!B5</f>
        <v>CBH DOCE</v>
      </c>
      <c r="D4" s="356"/>
      <c r="E4" s="359"/>
      <c r="F4" s="359"/>
      <c r="G4" s="359"/>
      <c r="H4" s="359"/>
      <c r="I4" s="359"/>
      <c r="J4" s="359"/>
    </row>
    <row r="5" spans="1:15" ht="19.899999999999999" customHeight="1">
      <c r="A5" s="358" t="s">
        <v>136</v>
      </c>
      <c r="B5" s="358"/>
      <c r="C5" s="363" t="str">
        <f>Município!B6</f>
        <v>São Sebastião do Rio Preto/MG</v>
      </c>
      <c r="D5" s="356"/>
      <c r="E5" s="359"/>
      <c r="F5" s="359"/>
      <c r="H5" s="359"/>
      <c r="I5" s="359"/>
      <c r="J5" s="359"/>
    </row>
    <row r="6" spans="1:15" ht="9" customHeight="1">
      <c r="A6" s="357"/>
      <c r="B6" s="357"/>
      <c r="C6" s="357"/>
      <c r="D6" s="364"/>
      <c r="E6" s="364"/>
      <c r="F6" s="364"/>
      <c r="G6" s="357"/>
      <c r="H6" s="356"/>
      <c r="I6" s="356"/>
      <c r="J6" s="356"/>
    </row>
    <row r="7" spans="1:15" ht="19.899999999999999" customHeight="1">
      <c r="A7" s="646" t="s">
        <v>8</v>
      </c>
      <c r="B7" s="646" t="s">
        <v>172</v>
      </c>
      <c r="C7" s="646"/>
      <c r="D7" s="646" t="s">
        <v>140</v>
      </c>
      <c r="E7" s="646" t="s">
        <v>173</v>
      </c>
      <c r="F7" s="566" t="s">
        <v>529</v>
      </c>
      <c r="G7" s="647" t="s">
        <v>174</v>
      </c>
      <c r="H7" s="647" t="s">
        <v>139</v>
      </c>
      <c r="I7" s="646" t="s">
        <v>175</v>
      </c>
      <c r="J7" s="646"/>
    </row>
    <row r="8" spans="1:15" ht="19.899999999999999" customHeight="1">
      <c r="A8" s="646"/>
      <c r="B8" s="646"/>
      <c r="C8" s="646"/>
      <c r="D8" s="646"/>
      <c r="E8" s="646"/>
      <c r="F8" s="365" t="s">
        <v>503</v>
      </c>
      <c r="G8" s="647"/>
      <c r="H8" s="647"/>
      <c r="I8" s="365" t="s">
        <v>176</v>
      </c>
      <c r="J8" s="365" t="s">
        <v>177</v>
      </c>
    </row>
    <row r="9" spans="1:15" ht="7.5" customHeight="1">
      <c r="A9" s="357"/>
      <c r="B9" s="357"/>
      <c r="C9" s="357"/>
      <c r="D9" s="357"/>
      <c r="E9" s="357"/>
      <c r="F9" s="357"/>
      <c r="G9" s="366"/>
      <c r="H9" s="366"/>
      <c r="I9" s="366"/>
      <c r="J9" s="357"/>
    </row>
    <row r="10" spans="1:15" ht="19.5" customHeight="1">
      <c r="A10" s="367">
        <v>1</v>
      </c>
      <c r="B10" s="368" t="s">
        <v>178</v>
      </c>
      <c r="C10" s="368"/>
      <c r="D10" s="369"/>
      <c r="E10" s="369"/>
      <c r="F10" s="369"/>
      <c r="G10" s="369"/>
      <c r="H10" s="369"/>
      <c r="I10" s="369"/>
      <c r="J10" s="369"/>
      <c r="L10" s="649" t="s">
        <v>182</v>
      </c>
      <c r="M10" s="649"/>
      <c r="N10" s="649" t="s">
        <v>210</v>
      </c>
      <c r="O10" s="649"/>
    </row>
    <row r="11" spans="1:15" ht="6.6" customHeight="1">
      <c r="A11" s="355"/>
      <c r="B11" s="355"/>
      <c r="C11" s="370"/>
      <c r="D11" s="371"/>
      <c r="E11" s="371"/>
      <c r="F11" s="371"/>
      <c r="G11" s="372"/>
      <c r="H11" s="372"/>
      <c r="I11" s="372"/>
      <c r="J11" s="371"/>
      <c r="L11" s="649"/>
      <c r="M11" s="649"/>
      <c r="N11" s="649"/>
      <c r="O11" s="649"/>
    </row>
    <row r="12" spans="1:15" ht="19.5" customHeight="1">
      <c r="A12" s="373" t="s">
        <v>29</v>
      </c>
      <c r="B12" s="374" t="s">
        <v>179</v>
      </c>
      <c r="C12" s="374"/>
      <c r="D12" s="374"/>
      <c r="E12" s="375"/>
      <c r="F12" s="375"/>
      <c r="G12" s="373"/>
      <c r="H12" s="374"/>
      <c r="I12" s="374"/>
      <c r="J12" s="376"/>
      <c r="L12" s="567">
        <v>45017</v>
      </c>
      <c r="M12" s="568" t="s">
        <v>742</v>
      </c>
      <c r="N12" s="567">
        <v>44896</v>
      </c>
      <c r="O12" s="568" t="s">
        <v>742</v>
      </c>
    </row>
    <row r="13" spans="1:15" ht="19.5" customHeight="1">
      <c r="A13" s="377" t="s">
        <v>180</v>
      </c>
      <c r="B13" s="378" t="s">
        <v>181</v>
      </c>
      <c r="C13" s="378"/>
      <c r="D13" s="379" t="s">
        <v>182</v>
      </c>
      <c r="E13" s="380" t="s">
        <v>183</v>
      </c>
      <c r="F13" s="569">
        <f>'Dias trabalhados'!$C$14*40/12</f>
        <v>173.80952380952382</v>
      </c>
      <c r="G13" s="581" t="s">
        <v>555</v>
      </c>
      <c r="H13" s="381" t="s">
        <v>184</v>
      </c>
      <c r="I13" s="570">
        <f>L13*'Coluna 39 FGV'!$K$22</f>
        <v>17599.008712388302</v>
      </c>
      <c r="J13" s="382">
        <f>ROUND(I13/F13,2)</f>
        <v>101.25</v>
      </c>
      <c r="L13" s="571">
        <f>VLOOKUP(E13,DNIT04.23!$A$1:$D$98,4,)</f>
        <v>17018.13</v>
      </c>
      <c r="M13" s="572">
        <f>L13*'Coluna 39 FGV'!$K$22</f>
        <v>17599.008712388302</v>
      </c>
      <c r="N13" s="568"/>
      <c r="O13" s="568"/>
    </row>
    <row r="14" spans="1:15" ht="19.5" customHeight="1">
      <c r="A14" s="377" t="s">
        <v>185</v>
      </c>
      <c r="B14" s="383" t="s">
        <v>186</v>
      </c>
      <c r="C14" s="383"/>
      <c r="D14" s="379" t="s">
        <v>182</v>
      </c>
      <c r="E14" s="384" t="s">
        <v>187</v>
      </c>
      <c r="F14" s="569">
        <f>'Dias trabalhados'!$C$14*40/12</f>
        <v>173.80952380952382</v>
      </c>
      <c r="G14" s="581" t="s">
        <v>555</v>
      </c>
      <c r="H14" s="385" t="s">
        <v>184</v>
      </c>
      <c r="I14" s="570">
        <f>L14*'Coluna 39 FGV'!$K$22</f>
        <v>11860.718814844662</v>
      </c>
      <c r="J14" s="382">
        <f t="shared" ref="J14:J17" si="0">ROUND(I14/F14,2)</f>
        <v>68.239999999999995</v>
      </c>
      <c r="L14" s="571">
        <f>VLOOKUP(E14,DNIT04.23!$A$1:$D$98,4,)</f>
        <v>11469.24</v>
      </c>
      <c r="M14" s="572">
        <f>L14*'Coluna 39 FGV'!$K$22</f>
        <v>11860.718814844662</v>
      </c>
      <c r="N14" s="568"/>
      <c r="O14" s="568"/>
    </row>
    <row r="15" spans="1:15" ht="19.5" customHeight="1">
      <c r="A15" s="377" t="s">
        <v>188</v>
      </c>
      <c r="B15" s="383" t="s">
        <v>189</v>
      </c>
      <c r="C15" s="383"/>
      <c r="D15" s="379" t="s">
        <v>182</v>
      </c>
      <c r="E15" s="384" t="s">
        <v>190</v>
      </c>
      <c r="F15" s="569">
        <f>'Dias trabalhados'!$C$14*40/12</f>
        <v>173.80952380952382</v>
      </c>
      <c r="G15" s="581" t="s">
        <v>555</v>
      </c>
      <c r="H15" s="385" t="s">
        <v>184</v>
      </c>
      <c r="I15" s="570">
        <f>L15*'Coluna 39 FGV'!$K$22</f>
        <v>11444.749183370988</v>
      </c>
      <c r="J15" s="382">
        <f t="shared" si="0"/>
        <v>65.849999999999994</v>
      </c>
      <c r="L15" s="571">
        <f>VLOOKUP(E15,DNIT04.23!$A$1:$D$98,4,)</f>
        <v>11067</v>
      </c>
      <c r="M15" s="572">
        <f>L15*'Coluna 39 FGV'!$K$22</f>
        <v>11444.749183370988</v>
      </c>
      <c r="N15" s="568"/>
      <c r="O15" s="568"/>
    </row>
    <row r="16" spans="1:15" ht="19.5" customHeight="1">
      <c r="A16" s="377" t="s">
        <v>191</v>
      </c>
      <c r="B16" s="383" t="s">
        <v>750</v>
      </c>
      <c r="C16" s="383"/>
      <c r="D16" s="379" t="s">
        <v>182</v>
      </c>
      <c r="E16" s="384" t="s">
        <v>207</v>
      </c>
      <c r="F16" s="569">
        <v>220</v>
      </c>
      <c r="G16" s="581" t="s">
        <v>555</v>
      </c>
      <c r="H16" s="385" t="s">
        <v>184</v>
      </c>
      <c r="I16" s="570">
        <f>L16*'Coluna 39 FGV'!$K$22</f>
        <v>2608.8692012145111</v>
      </c>
      <c r="J16" s="382">
        <f t="shared" si="0"/>
        <v>11.86</v>
      </c>
      <c r="L16" s="571">
        <f>VLOOKUP(E16,DNIT04.23!$A$1:$D$98,4,)</f>
        <v>2522.7600000000002</v>
      </c>
      <c r="M16" s="572">
        <f>L16*'Coluna 39 FGV'!$K$22</f>
        <v>2608.8692012145111</v>
      </c>
      <c r="N16" s="568"/>
      <c r="O16" s="568"/>
    </row>
    <row r="17" spans="1:15" ht="19.5" customHeight="1">
      <c r="A17" s="377" t="s">
        <v>202</v>
      </c>
      <c r="B17" s="383" t="s">
        <v>192</v>
      </c>
      <c r="C17" s="383"/>
      <c r="D17" s="386" t="s">
        <v>182</v>
      </c>
      <c r="E17" s="384" t="s">
        <v>193</v>
      </c>
      <c r="F17" s="569">
        <v>220</v>
      </c>
      <c r="G17" s="581" t="s">
        <v>555</v>
      </c>
      <c r="H17" s="385" t="s">
        <v>184</v>
      </c>
      <c r="I17" s="570">
        <f>L17*'Coluna 39 FGV'!$K$22</f>
        <v>1766.826459499518</v>
      </c>
      <c r="J17" s="382">
        <f t="shared" si="0"/>
        <v>8.0299999999999994</v>
      </c>
      <c r="L17" s="571">
        <f>VLOOKUP(E17,DNIT04.23!$A$1:$D$98,4,)</f>
        <v>1708.51</v>
      </c>
      <c r="M17" s="572">
        <f>L17*'Coluna 39 FGV'!$K$22</f>
        <v>1766.826459499518</v>
      </c>
      <c r="N17" s="568"/>
      <c r="O17" s="568"/>
    </row>
    <row r="18" spans="1:15" ht="5.45" customHeight="1">
      <c r="A18" s="355"/>
      <c r="B18" s="355"/>
      <c r="C18" s="370"/>
      <c r="D18" s="388"/>
      <c r="E18" s="388"/>
      <c r="F18" s="388"/>
      <c r="G18" s="372"/>
      <c r="H18" s="372"/>
      <c r="I18" s="573"/>
      <c r="J18" s="389"/>
      <c r="L18" s="571"/>
      <c r="M18" s="572"/>
      <c r="N18" s="568"/>
      <c r="O18" s="568"/>
    </row>
    <row r="19" spans="1:15" ht="20.45" customHeight="1">
      <c r="A19" s="367">
        <v>2</v>
      </c>
      <c r="B19" s="368" t="s">
        <v>194</v>
      </c>
      <c r="C19" s="368"/>
      <c r="D19" s="369"/>
      <c r="E19" s="369"/>
      <c r="F19" s="369"/>
      <c r="G19" s="369"/>
      <c r="H19" s="369"/>
      <c r="I19" s="368"/>
      <c r="J19" s="369"/>
      <c r="L19" s="571"/>
      <c r="M19" s="572"/>
      <c r="N19" s="568"/>
      <c r="O19" s="568"/>
    </row>
    <row r="20" spans="1:15" ht="6.6" customHeight="1">
      <c r="A20" s="355"/>
      <c r="B20" s="355"/>
      <c r="C20" s="370"/>
      <c r="D20" s="371"/>
      <c r="E20" s="371"/>
      <c r="F20" s="371"/>
      <c r="G20" s="372"/>
      <c r="H20" s="372"/>
      <c r="I20" s="573"/>
      <c r="J20" s="371"/>
      <c r="L20" s="571"/>
      <c r="M20" s="572"/>
      <c r="N20" s="568"/>
      <c r="O20" s="568"/>
    </row>
    <row r="21" spans="1:15" ht="19.149999999999999" customHeight="1">
      <c r="A21" s="390" t="s">
        <v>47</v>
      </c>
      <c r="B21" s="391" t="s">
        <v>195</v>
      </c>
      <c r="C21" s="391"/>
      <c r="D21" s="391"/>
      <c r="E21" s="392"/>
      <c r="F21" s="392"/>
      <c r="G21" s="390"/>
      <c r="H21" s="391"/>
      <c r="I21" s="574"/>
      <c r="J21" s="393"/>
      <c r="K21" s="394"/>
      <c r="L21" s="571"/>
      <c r="M21" s="572"/>
      <c r="N21" s="568"/>
      <c r="O21" s="568"/>
    </row>
    <row r="22" spans="1:15" ht="19.149999999999999" customHeight="1">
      <c r="A22" s="377" t="s">
        <v>180</v>
      </c>
      <c r="B22" s="395" t="s">
        <v>196</v>
      </c>
      <c r="C22" s="396"/>
      <c r="D22" s="379" t="s">
        <v>182</v>
      </c>
      <c r="E22" s="384" t="s">
        <v>197</v>
      </c>
      <c r="F22" s="569">
        <f>'Dias trabalhados'!$C$49</f>
        <v>148.73121330724069</v>
      </c>
      <c r="G22" s="581" t="s">
        <v>555</v>
      </c>
      <c r="H22" s="385" t="s">
        <v>184</v>
      </c>
      <c r="I22" s="570">
        <f>L22*'Coluna 39 FGV'!$K$22</f>
        <v>10073.354475270893</v>
      </c>
      <c r="J22" s="382">
        <f t="shared" ref="J22:J27" si="1">ROUND(I22/F22,2)</f>
        <v>67.73</v>
      </c>
      <c r="L22" s="571">
        <f>VLOOKUP(E22,DNIT04.23!$A$1:$D$98,4,)</f>
        <v>9740.8700000000008</v>
      </c>
      <c r="M22" s="572">
        <f>L22*'Coluna 39 FGV'!$K$22</f>
        <v>10073.354475270893</v>
      </c>
      <c r="N22" s="568"/>
      <c r="O22" s="568"/>
    </row>
    <row r="23" spans="1:15" ht="19.149999999999999" customHeight="1">
      <c r="A23" s="377" t="s">
        <v>185</v>
      </c>
      <c r="B23" s="395" t="s">
        <v>198</v>
      </c>
      <c r="C23" s="396"/>
      <c r="D23" s="379" t="s">
        <v>182</v>
      </c>
      <c r="E23" s="384" t="s">
        <v>199</v>
      </c>
      <c r="F23" s="569">
        <f>'Dias trabalhados'!$C$49</f>
        <v>148.73121330724069</v>
      </c>
      <c r="G23" s="581" t="s">
        <v>555</v>
      </c>
      <c r="H23" s="385" t="s">
        <v>184</v>
      </c>
      <c r="I23" s="570">
        <f>L23*'Coluna 39 FGV'!$K$22</f>
        <v>15173.739472320955</v>
      </c>
      <c r="J23" s="382">
        <f t="shared" si="1"/>
        <v>102.02</v>
      </c>
      <c r="L23" s="571">
        <f>VLOOKUP(E23,DNIT04.23!$A$1:$D$98,4,)</f>
        <v>14672.91</v>
      </c>
      <c r="M23" s="572">
        <f>L23*'Coluna 39 FGV'!$K$22</f>
        <v>15173.739472320955</v>
      </c>
      <c r="N23" s="568"/>
      <c r="O23" s="568"/>
    </row>
    <row r="24" spans="1:15" ht="19.149999999999999" customHeight="1">
      <c r="A24" s="377" t="s">
        <v>188</v>
      </c>
      <c r="B24" s="395" t="s">
        <v>200</v>
      </c>
      <c r="C24" s="396"/>
      <c r="D24" s="386" t="s">
        <v>182</v>
      </c>
      <c r="E24" s="384" t="s">
        <v>199</v>
      </c>
      <c r="F24" s="569">
        <f>'Dias trabalhados'!$C$49</f>
        <v>148.73121330724069</v>
      </c>
      <c r="G24" s="581" t="s">
        <v>555</v>
      </c>
      <c r="H24" s="385" t="s">
        <v>184</v>
      </c>
      <c r="I24" s="570">
        <f>L24*'Coluna 39 FGV'!$K$22</f>
        <v>15173.739472320955</v>
      </c>
      <c r="J24" s="382">
        <f t="shared" si="1"/>
        <v>102.02</v>
      </c>
      <c r="L24" s="571">
        <f>VLOOKUP(E24,DNIT04.23!$A$1:$D$98,4,)</f>
        <v>14672.91</v>
      </c>
      <c r="M24" s="572">
        <f>L24*'Coluna 39 FGV'!$K$22</f>
        <v>15173.739472320955</v>
      </c>
      <c r="N24" s="568"/>
      <c r="O24" s="568"/>
    </row>
    <row r="25" spans="1:15" ht="19.149999999999999" customHeight="1">
      <c r="A25" s="377" t="s">
        <v>191</v>
      </c>
      <c r="B25" s="395" t="s">
        <v>201</v>
      </c>
      <c r="C25" s="396"/>
      <c r="D25" s="386" t="s">
        <v>182</v>
      </c>
      <c r="E25" s="384" t="s">
        <v>199</v>
      </c>
      <c r="F25" s="569">
        <f>'Dias trabalhados'!$C$49</f>
        <v>148.73121330724069</v>
      </c>
      <c r="G25" s="581" t="s">
        <v>555</v>
      </c>
      <c r="H25" s="385" t="s">
        <v>184</v>
      </c>
      <c r="I25" s="570">
        <f>L25*'Coluna 39 FGV'!$K$22</f>
        <v>15173.739472320955</v>
      </c>
      <c r="J25" s="382">
        <f t="shared" si="1"/>
        <v>102.02</v>
      </c>
      <c r="L25" s="571">
        <f>VLOOKUP(E25,DNIT04.23!$A$1:$D$98,4,)</f>
        <v>14672.91</v>
      </c>
      <c r="M25" s="572">
        <f>L25*'Coluna 39 FGV'!$K$22</f>
        <v>15173.739472320955</v>
      </c>
      <c r="N25" s="568"/>
      <c r="O25" s="568"/>
    </row>
    <row r="26" spans="1:15" ht="19.149999999999999" customHeight="1">
      <c r="A26" s="377" t="s">
        <v>202</v>
      </c>
      <c r="B26" s="575" t="s">
        <v>203</v>
      </c>
      <c r="C26" s="576"/>
      <c r="D26" s="386" t="s">
        <v>182</v>
      </c>
      <c r="E26" s="384" t="s">
        <v>204</v>
      </c>
      <c r="F26" s="569">
        <f>'Dias trabalhados'!$C$49</f>
        <v>148.73121330724069</v>
      </c>
      <c r="G26" s="581" t="s">
        <v>555</v>
      </c>
      <c r="H26" s="385" t="s">
        <v>184</v>
      </c>
      <c r="I26" s="570">
        <f>L26*'Coluna 39 FGV'!$K$22</f>
        <v>13760.689889629173</v>
      </c>
      <c r="J26" s="382">
        <f t="shared" si="1"/>
        <v>92.52</v>
      </c>
      <c r="L26" s="571">
        <f>VLOOKUP(E26,DNIT04.23!$A$1:$D$98,4,)</f>
        <v>13306.5</v>
      </c>
      <c r="M26" s="572">
        <f>L26*'Coluna 39 FGV'!$K$22</f>
        <v>13760.689889629173</v>
      </c>
      <c r="N26" s="568"/>
      <c r="O26" s="568"/>
    </row>
    <row r="27" spans="1:15" ht="19.149999999999999" customHeight="1">
      <c r="A27" s="377" t="s">
        <v>205</v>
      </c>
      <c r="B27" s="395" t="s">
        <v>206</v>
      </c>
      <c r="C27" s="396"/>
      <c r="D27" s="386" t="s">
        <v>182</v>
      </c>
      <c r="E27" s="384" t="s">
        <v>207</v>
      </c>
      <c r="F27" s="569">
        <f>'Dias trabalhados'!$C$49</f>
        <v>148.73121330724069</v>
      </c>
      <c r="G27" s="581" t="s">
        <v>555</v>
      </c>
      <c r="H27" s="385" t="s">
        <v>184</v>
      </c>
      <c r="I27" s="570">
        <f>L27*'Coluna 39 FGV'!$K$22</f>
        <v>2608.8692012145111</v>
      </c>
      <c r="J27" s="382">
        <f t="shared" si="1"/>
        <v>17.54</v>
      </c>
      <c r="L27" s="571">
        <f>VLOOKUP(E27,DNIT04.23!$A$1:$D$98,4,)</f>
        <v>2522.7600000000002</v>
      </c>
      <c r="M27" s="572">
        <f>L27*'Coluna 39 FGV'!$K$22</f>
        <v>2608.8692012145111</v>
      </c>
      <c r="N27" s="568"/>
      <c r="O27" s="568"/>
    </row>
    <row r="28" spans="1:15" ht="5.45" customHeight="1">
      <c r="A28" s="355"/>
      <c r="B28" s="355"/>
      <c r="C28" s="370"/>
      <c r="D28" s="388"/>
      <c r="E28" s="388"/>
      <c r="F28" s="388"/>
      <c r="G28" s="372"/>
      <c r="H28" s="372"/>
      <c r="I28" s="372"/>
      <c r="J28" s="389"/>
      <c r="L28" s="577"/>
      <c r="M28" s="568"/>
      <c r="N28" s="568"/>
      <c r="O28" s="568"/>
    </row>
    <row r="29" spans="1:15" ht="20.45" customHeight="1">
      <c r="A29" s="367">
        <v>3</v>
      </c>
      <c r="B29" s="368" t="s">
        <v>129</v>
      </c>
      <c r="C29" s="368"/>
      <c r="D29" s="369"/>
      <c r="E29" s="369"/>
      <c r="F29" s="369"/>
      <c r="G29" s="369"/>
      <c r="H29" s="369"/>
      <c r="I29" s="369"/>
      <c r="J29" s="369"/>
      <c r="L29" s="577"/>
      <c r="M29" s="568"/>
      <c r="N29" s="568"/>
      <c r="O29" s="568"/>
    </row>
    <row r="30" spans="1:15" ht="6.6" customHeight="1">
      <c r="A30" s="355"/>
      <c r="B30" s="355"/>
      <c r="C30" s="370"/>
      <c r="D30" s="371"/>
      <c r="E30" s="371"/>
      <c r="F30" s="371"/>
      <c r="G30" s="372"/>
      <c r="H30" s="372"/>
      <c r="I30" s="372"/>
      <c r="J30" s="371"/>
      <c r="L30" s="577"/>
      <c r="M30" s="568"/>
      <c r="N30" s="568"/>
      <c r="O30" s="568"/>
    </row>
    <row r="31" spans="1:15" ht="19.149999999999999" customHeight="1">
      <c r="A31" s="390" t="s">
        <v>59</v>
      </c>
      <c r="B31" s="391" t="s">
        <v>208</v>
      </c>
      <c r="C31" s="391"/>
      <c r="D31" s="391"/>
      <c r="E31" s="392"/>
      <c r="F31" s="392"/>
      <c r="G31" s="390"/>
      <c r="H31" s="391"/>
      <c r="I31" s="392"/>
      <c r="J31" s="393"/>
      <c r="K31" s="394"/>
      <c r="L31" s="577"/>
      <c r="M31" s="568"/>
      <c r="N31" s="568"/>
      <c r="O31" s="568"/>
    </row>
    <row r="32" spans="1:15" ht="21" customHeight="1">
      <c r="A32" s="377" t="s">
        <v>180</v>
      </c>
      <c r="B32" s="651" t="s">
        <v>209</v>
      </c>
      <c r="C32" s="651"/>
      <c r="D32" s="405" t="s">
        <v>210</v>
      </c>
      <c r="E32" s="397">
        <v>65001207</v>
      </c>
      <c r="F32" s="397">
        <v>65001207</v>
      </c>
      <c r="G32" s="381" t="s">
        <v>530</v>
      </c>
      <c r="H32" s="381" t="s">
        <v>211</v>
      </c>
      <c r="I32" s="398" t="s">
        <v>212</v>
      </c>
      <c r="J32" s="382">
        <f>N32*'Coluna 39 FGV'!$K$19</f>
        <v>1215.1790752568731</v>
      </c>
      <c r="L32" s="577" t="s">
        <v>212</v>
      </c>
      <c r="M32" s="578" t="s">
        <v>212</v>
      </c>
      <c r="N32" s="571">
        <v>1156.9100000000001</v>
      </c>
      <c r="O32" s="572">
        <f>N32*'Coluna 39 FGV'!$K$19</f>
        <v>1215.1790752568731</v>
      </c>
    </row>
    <row r="33" spans="1:15" ht="24" customHeight="1">
      <c r="A33" s="399" t="s">
        <v>185</v>
      </c>
      <c r="B33" s="651" t="s">
        <v>213</v>
      </c>
      <c r="C33" s="651"/>
      <c r="D33" s="405" t="s">
        <v>210</v>
      </c>
      <c r="E33" s="397">
        <v>65001208</v>
      </c>
      <c r="F33" s="397">
        <v>65001208</v>
      </c>
      <c r="G33" s="381" t="s">
        <v>530</v>
      </c>
      <c r="H33" s="381" t="s">
        <v>168</v>
      </c>
      <c r="I33" s="398" t="s">
        <v>212</v>
      </c>
      <c r="J33" s="382">
        <f>N33*'Coluna 39 FGV'!$K$19</f>
        <v>8.7600534939125083</v>
      </c>
      <c r="L33" s="577" t="s">
        <v>212</v>
      </c>
      <c r="M33" s="578" t="s">
        <v>212</v>
      </c>
      <c r="N33" s="571">
        <v>8.34</v>
      </c>
      <c r="O33" s="572">
        <f>N33*'Coluna 39 FGV'!$K$19</f>
        <v>8.7600534939125083</v>
      </c>
    </row>
    <row r="34" spans="1:15" ht="23.25" customHeight="1">
      <c r="A34" s="399" t="s">
        <v>188</v>
      </c>
      <c r="B34" s="651" t="s">
        <v>214</v>
      </c>
      <c r="C34" s="651"/>
      <c r="D34" s="405" t="s">
        <v>210</v>
      </c>
      <c r="E34" s="397">
        <v>65001209</v>
      </c>
      <c r="F34" s="397">
        <v>65001209</v>
      </c>
      <c r="G34" s="381" t="s">
        <v>530</v>
      </c>
      <c r="H34" s="381" t="s">
        <v>211</v>
      </c>
      <c r="I34" s="398" t="s">
        <v>212</v>
      </c>
      <c r="J34" s="382">
        <f>N34*'Coluna 39 FGV'!$K$19</f>
        <v>442.73982592554694</v>
      </c>
      <c r="L34" s="577" t="s">
        <v>212</v>
      </c>
      <c r="M34" s="578" t="s">
        <v>212</v>
      </c>
      <c r="N34" s="571">
        <v>421.51</v>
      </c>
      <c r="O34" s="572">
        <f>N34*'Coluna 39 FGV'!$K$19</f>
        <v>442.73982592554694</v>
      </c>
    </row>
    <row r="35" spans="1:15" ht="21" customHeight="1">
      <c r="A35" s="399" t="s">
        <v>191</v>
      </c>
      <c r="B35" s="650" t="s">
        <v>215</v>
      </c>
      <c r="C35" s="650"/>
      <c r="D35" s="405" t="s">
        <v>210</v>
      </c>
      <c r="E35" s="400">
        <v>65001210</v>
      </c>
      <c r="F35" s="400">
        <v>65001210</v>
      </c>
      <c r="G35" s="381" t="s">
        <v>530</v>
      </c>
      <c r="H35" s="385" t="s">
        <v>216</v>
      </c>
      <c r="I35" s="401" t="s">
        <v>212</v>
      </c>
      <c r="J35" s="382">
        <f>N35*'Coluna 39 FGV'!$K$19</f>
        <v>137.19882342624123</v>
      </c>
      <c r="L35" s="577" t="s">
        <v>212</v>
      </c>
      <c r="M35" s="578" t="s">
        <v>212</v>
      </c>
      <c r="N35" s="571">
        <v>130.62</v>
      </c>
      <c r="O35" s="572">
        <f>N35*'Coluna 39 FGV'!$K$19</f>
        <v>137.19882342624123</v>
      </c>
    </row>
    <row r="36" spans="1:15" ht="7.15" customHeight="1">
      <c r="A36" s="355"/>
      <c r="B36" s="355"/>
      <c r="C36" s="370"/>
      <c r="D36" s="402"/>
      <c r="E36" s="402"/>
      <c r="F36" s="402"/>
      <c r="G36" s="372"/>
      <c r="H36" s="372"/>
      <c r="I36" s="403"/>
      <c r="J36" s="371"/>
      <c r="L36" s="577"/>
      <c r="M36" s="578"/>
      <c r="N36" s="571"/>
      <c r="O36" s="572"/>
    </row>
    <row r="37" spans="1:15" ht="19.149999999999999" customHeight="1">
      <c r="A37" s="390" t="s">
        <v>60</v>
      </c>
      <c r="B37" s="391" t="s">
        <v>217</v>
      </c>
      <c r="C37" s="391"/>
      <c r="D37" s="391"/>
      <c r="E37" s="392"/>
      <c r="F37" s="392"/>
      <c r="G37" s="390"/>
      <c r="H37" s="391"/>
      <c r="I37" s="392"/>
      <c r="J37" s="393"/>
      <c r="K37" s="394"/>
      <c r="L37" s="577"/>
      <c r="M37" s="578"/>
      <c r="N37" s="571"/>
      <c r="O37" s="572"/>
    </row>
    <row r="38" spans="1:15" ht="20.25" customHeight="1">
      <c r="A38" s="377" t="s">
        <v>180</v>
      </c>
      <c r="B38" s="404" t="s">
        <v>218</v>
      </c>
      <c r="C38" s="404"/>
      <c r="D38" s="405" t="s">
        <v>210</v>
      </c>
      <c r="E38" s="406">
        <v>65003710</v>
      </c>
      <c r="F38" s="406">
        <v>65003710</v>
      </c>
      <c r="G38" s="381" t="s">
        <v>530</v>
      </c>
      <c r="H38" s="381" t="s">
        <v>168</v>
      </c>
      <c r="I38" s="398" t="s">
        <v>212</v>
      </c>
      <c r="J38" s="382">
        <f>N38*'Coluna 39 FGV'!$K$19</f>
        <v>4.1699535216825732</v>
      </c>
      <c r="L38" s="577" t="s">
        <v>212</v>
      </c>
      <c r="M38" s="578" t="s">
        <v>212</v>
      </c>
      <c r="N38" s="571">
        <v>3.97</v>
      </c>
      <c r="O38" s="572">
        <f>N38*'Coluna 39 FGV'!$K$19</f>
        <v>4.1699535216825732</v>
      </c>
    </row>
    <row r="39" spans="1:15" ht="21" customHeight="1">
      <c r="A39" s="399" t="s">
        <v>185</v>
      </c>
      <c r="B39" s="650" t="s">
        <v>219</v>
      </c>
      <c r="C39" s="650"/>
      <c r="D39" s="405" t="s">
        <v>210</v>
      </c>
      <c r="E39" s="407">
        <v>65001667</v>
      </c>
      <c r="F39" s="407">
        <v>65001667</v>
      </c>
      <c r="G39" s="381" t="s">
        <v>530</v>
      </c>
      <c r="H39" s="386" t="s">
        <v>220</v>
      </c>
      <c r="I39" s="387" t="s">
        <v>212</v>
      </c>
      <c r="J39" s="382">
        <f>N39*'Coluna 39 FGV'!$K$19</f>
        <v>45822.012189596455</v>
      </c>
      <c r="L39" s="577" t="s">
        <v>212</v>
      </c>
      <c r="M39" s="578" t="s">
        <v>212</v>
      </c>
      <c r="N39" s="571">
        <v>43624.800000000003</v>
      </c>
      <c r="O39" s="572">
        <f>N39*'Coluna 39 FGV'!$K$19</f>
        <v>45822.012189596455</v>
      </c>
    </row>
    <row r="40" spans="1:15" ht="20.25" customHeight="1">
      <c r="A40" s="399" t="s">
        <v>188</v>
      </c>
      <c r="B40" s="650" t="s">
        <v>221</v>
      </c>
      <c r="C40" s="650"/>
      <c r="D40" s="405" t="s">
        <v>210</v>
      </c>
      <c r="E40" s="407">
        <v>65001668</v>
      </c>
      <c r="F40" s="407">
        <v>65001668</v>
      </c>
      <c r="G40" s="381" t="s">
        <v>530</v>
      </c>
      <c r="H40" s="381" t="s">
        <v>220</v>
      </c>
      <c r="I40" s="387" t="s">
        <v>212</v>
      </c>
      <c r="J40" s="382">
        <f>N40*'Coluna 39 FGV'!$K$19</f>
        <v>24019.089839810575</v>
      </c>
      <c r="L40" s="577" t="s">
        <v>212</v>
      </c>
      <c r="M40" s="578" t="s">
        <v>212</v>
      </c>
      <c r="N40" s="571">
        <v>22867.35</v>
      </c>
      <c r="O40" s="572">
        <f>N40*'Coluna 39 FGV'!$K$19</f>
        <v>24019.089839810575</v>
      </c>
    </row>
    <row r="41" spans="1:15" ht="7.9" customHeight="1">
      <c r="A41" s="355"/>
      <c r="B41" s="355"/>
      <c r="C41" s="370"/>
      <c r="D41" s="388"/>
      <c r="E41" s="388"/>
      <c r="F41" s="388"/>
      <c r="G41" s="372"/>
      <c r="H41" s="372"/>
      <c r="I41" s="403"/>
      <c r="J41" s="408"/>
      <c r="L41" s="577"/>
      <c r="M41" s="578"/>
      <c r="N41" s="571"/>
      <c r="O41" s="572"/>
    </row>
    <row r="42" spans="1:15" ht="19.149999999999999" customHeight="1">
      <c r="A42" s="390" t="s">
        <v>61</v>
      </c>
      <c r="B42" s="391" t="s">
        <v>222</v>
      </c>
      <c r="C42" s="391"/>
      <c r="D42" s="391"/>
      <c r="E42" s="392"/>
      <c r="F42" s="392"/>
      <c r="G42" s="390"/>
      <c r="H42" s="391"/>
      <c r="I42" s="392"/>
      <c r="J42" s="393"/>
      <c r="K42" s="394"/>
      <c r="L42" s="577"/>
      <c r="M42" s="578"/>
      <c r="N42" s="571"/>
      <c r="O42" s="572"/>
    </row>
    <row r="43" spans="1:15" ht="18.75" customHeight="1">
      <c r="A43" s="377" t="s">
        <v>180</v>
      </c>
      <c r="B43" s="650" t="s">
        <v>219</v>
      </c>
      <c r="C43" s="650"/>
      <c r="D43" s="405" t="s">
        <v>210</v>
      </c>
      <c r="E43" s="407">
        <v>65001667</v>
      </c>
      <c r="F43" s="407">
        <v>65001667</v>
      </c>
      <c r="G43" s="381" t="s">
        <v>530</v>
      </c>
      <c r="H43" s="386" t="s">
        <v>220</v>
      </c>
      <c r="I43" s="387" t="s">
        <v>212</v>
      </c>
      <c r="J43" s="382">
        <f>N43*'Coluna 39 FGV'!$K$19</f>
        <v>45822.012189596455</v>
      </c>
      <c r="L43" s="577" t="s">
        <v>212</v>
      </c>
      <c r="M43" s="578" t="s">
        <v>212</v>
      </c>
      <c r="N43" s="571">
        <v>43624.800000000003</v>
      </c>
      <c r="O43" s="572">
        <f>N43*'Coluna 39 FGV'!$K$19</f>
        <v>45822.012189596455</v>
      </c>
    </row>
    <row r="44" spans="1:15" ht="19.5" customHeight="1">
      <c r="A44" s="399" t="s">
        <v>185</v>
      </c>
      <c r="B44" s="650" t="s">
        <v>221</v>
      </c>
      <c r="C44" s="650"/>
      <c r="D44" s="405" t="s">
        <v>210</v>
      </c>
      <c r="E44" s="407">
        <v>65001668</v>
      </c>
      <c r="F44" s="407">
        <v>65001668</v>
      </c>
      <c r="G44" s="381" t="s">
        <v>530</v>
      </c>
      <c r="H44" s="381" t="s">
        <v>220</v>
      </c>
      <c r="I44" s="387" t="s">
        <v>212</v>
      </c>
      <c r="J44" s="382">
        <f>N44*'Coluna 39 FGV'!$K$19</f>
        <v>24019.089839810575</v>
      </c>
      <c r="L44" s="577" t="s">
        <v>212</v>
      </c>
      <c r="M44" s="578" t="s">
        <v>212</v>
      </c>
      <c r="N44" s="571">
        <v>22867.35</v>
      </c>
      <c r="O44" s="572">
        <f>N44*'Coluna 39 FGV'!$K$19</f>
        <v>24019.089839810575</v>
      </c>
    </row>
    <row r="45" spans="1:15" ht="7.9" customHeight="1">
      <c r="A45" s="355"/>
      <c r="B45" s="355"/>
      <c r="C45" s="370"/>
      <c r="D45" s="388"/>
      <c r="E45" s="388"/>
      <c r="F45" s="388"/>
      <c r="G45" s="372"/>
      <c r="H45" s="372"/>
      <c r="I45" s="403"/>
      <c r="J45" s="408"/>
    </row>
    <row r="46" spans="1:15" ht="20.45" customHeight="1">
      <c r="A46" s="367">
        <v>4</v>
      </c>
      <c r="B46" s="368" t="s">
        <v>129</v>
      </c>
      <c r="C46" s="368"/>
      <c r="D46" s="369"/>
      <c r="E46" s="369"/>
      <c r="F46" s="369"/>
      <c r="G46" s="369"/>
      <c r="H46" s="369"/>
      <c r="I46" s="369"/>
      <c r="J46" s="369"/>
    </row>
    <row r="47" spans="1:15" ht="7.9" customHeight="1">
      <c r="A47" s="355"/>
      <c r="B47" s="355"/>
      <c r="C47" s="370"/>
      <c r="D47" s="388"/>
      <c r="E47" s="388"/>
      <c r="F47" s="388"/>
      <c r="G47" s="372"/>
      <c r="H47" s="372"/>
      <c r="I47" s="403"/>
      <c r="J47" s="408"/>
    </row>
    <row r="48" spans="1:15" ht="19.5" customHeight="1">
      <c r="A48" s="409" t="s">
        <v>72</v>
      </c>
      <c r="B48" s="410" t="s">
        <v>223</v>
      </c>
      <c r="C48" s="410"/>
      <c r="D48" s="410"/>
      <c r="E48" s="410"/>
      <c r="F48" s="410"/>
      <c r="G48" s="410"/>
      <c r="H48" s="410"/>
      <c r="I48" s="411"/>
      <c r="J48" s="410"/>
    </row>
    <row r="49" spans="1:12" ht="19.5" customHeight="1">
      <c r="A49" s="377" t="s">
        <v>180</v>
      </c>
      <c r="B49" s="404" t="s">
        <v>224</v>
      </c>
      <c r="C49" s="404"/>
      <c r="D49" s="579" t="s">
        <v>225</v>
      </c>
      <c r="E49" s="580" t="s">
        <v>212</v>
      </c>
      <c r="F49" s="580" t="s">
        <v>212</v>
      </c>
      <c r="G49" s="581" t="s">
        <v>531</v>
      </c>
      <c r="H49" s="582" t="s">
        <v>220</v>
      </c>
      <c r="I49" s="583" t="s">
        <v>212</v>
      </c>
      <c r="J49" s="584">
        <f>Deslocamento!K23*30</f>
        <v>2308.7446447225589</v>
      </c>
      <c r="L49" s="585"/>
    </row>
    <row r="50" spans="1:12" ht="19.5" customHeight="1">
      <c r="A50" s="412" t="s">
        <v>185</v>
      </c>
      <c r="B50" s="383" t="s">
        <v>227</v>
      </c>
      <c r="C50" s="383"/>
      <c r="D50" s="413" t="s">
        <v>228</v>
      </c>
      <c r="E50" s="580" t="s">
        <v>212</v>
      </c>
      <c r="F50" s="580" t="s">
        <v>212</v>
      </c>
      <c r="G50" s="581" t="s">
        <v>531</v>
      </c>
      <c r="H50" s="414" t="s">
        <v>211</v>
      </c>
      <c r="I50" s="415" t="s">
        <v>212</v>
      </c>
      <c r="J50" s="586">
        <v>24.51</v>
      </c>
    </row>
    <row r="51" spans="1:12" ht="21" customHeight="1">
      <c r="A51" s="412" t="s">
        <v>188</v>
      </c>
      <c r="B51" s="383" t="s">
        <v>229</v>
      </c>
      <c r="C51" s="383"/>
      <c r="D51" s="413" t="s">
        <v>228</v>
      </c>
      <c r="E51" s="580" t="s">
        <v>212</v>
      </c>
      <c r="F51" s="580" t="s">
        <v>212</v>
      </c>
      <c r="G51" s="581" t="s">
        <v>531</v>
      </c>
      <c r="H51" s="414" t="s">
        <v>211</v>
      </c>
      <c r="I51" s="415" t="s">
        <v>212</v>
      </c>
      <c r="J51" s="586">
        <v>220</v>
      </c>
    </row>
    <row r="52" spans="1:12" ht="15.6" customHeight="1">
      <c r="A52" s="416" t="s">
        <v>230</v>
      </c>
      <c r="B52" s="416"/>
      <c r="D52" s="356"/>
      <c r="G52" s="418"/>
      <c r="H52" s="418"/>
      <c r="I52" s="418"/>
      <c r="J52" s="356"/>
    </row>
    <row r="53" spans="1:12" ht="15.6" customHeight="1">
      <c r="A53" s="364" t="s">
        <v>231</v>
      </c>
      <c r="B53" s="653" t="s">
        <v>743</v>
      </c>
      <c r="C53" s="653"/>
      <c r="D53" s="653"/>
      <c r="E53" s="653"/>
      <c r="F53" s="653"/>
      <c r="G53" s="653"/>
      <c r="H53" s="653"/>
      <c r="I53" s="653"/>
      <c r="J53" s="653"/>
    </row>
    <row r="54" spans="1:12">
      <c r="A54" s="356" t="s">
        <v>232</v>
      </c>
      <c r="B54" s="654" t="s">
        <v>532</v>
      </c>
      <c r="C54" s="654"/>
      <c r="D54" s="654"/>
      <c r="E54" s="654"/>
      <c r="F54" s="654"/>
      <c r="G54" s="654"/>
      <c r="H54" s="654"/>
      <c r="I54" s="654"/>
      <c r="J54" s="654"/>
    </row>
    <row r="55" spans="1:12" ht="16.5" customHeight="1">
      <c r="B55" s="653" t="s">
        <v>233</v>
      </c>
      <c r="C55" s="653"/>
      <c r="D55" s="653"/>
      <c r="E55" s="653"/>
      <c r="F55" s="653"/>
      <c r="G55" s="653"/>
      <c r="H55" s="653"/>
      <c r="I55" s="653"/>
      <c r="J55" s="653"/>
    </row>
    <row r="56" spans="1:12" ht="14.45" customHeight="1">
      <c r="A56" s="356" t="s">
        <v>234</v>
      </c>
      <c r="B56" s="653" t="s">
        <v>235</v>
      </c>
      <c r="C56" s="653"/>
      <c r="D56" s="653"/>
      <c r="E56" s="653"/>
      <c r="F56" s="653"/>
      <c r="G56" s="653"/>
      <c r="H56" s="653"/>
      <c r="I56" s="653"/>
      <c r="J56" s="653"/>
    </row>
    <row r="57" spans="1:12">
      <c r="B57" s="655" t="s">
        <v>533</v>
      </c>
      <c r="C57" s="655"/>
      <c r="D57" s="655"/>
      <c r="E57" s="655"/>
      <c r="F57" s="655"/>
      <c r="G57" s="655"/>
      <c r="H57" s="655"/>
      <c r="I57" s="655"/>
      <c r="J57" s="655"/>
    </row>
    <row r="58" spans="1:12" ht="30.75" customHeight="1">
      <c r="B58" s="652" t="s">
        <v>744</v>
      </c>
      <c r="C58" s="652"/>
      <c r="D58" s="652"/>
      <c r="E58" s="652"/>
      <c r="F58" s="652"/>
      <c r="G58" s="652"/>
      <c r="H58" s="652"/>
      <c r="I58" s="652"/>
      <c r="J58" s="652"/>
    </row>
    <row r="59" spans="1:12"/>
    <row r="60" spans="1:12"/>
    <row r="61" spans="1:12"/>
    <row r="62" spans="1:12"/>
    <row r="63" spans="1:12"/>
    <row r="64" spans="1:12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mergeCells count="24">
    <mergeCell ref="B58:J58"/>
    <mergeCell ref="B53:J53"/>
    <mergeCell ref="B54:J54"/>
    <mergeCell ref="B55:J55"/>
    <mergeCell ref="B56:J56"/>
    <mergeCell ref="B57:J57"/>
    <mergeCell ref="L10:M11"/>
    <mergeCell ref="N10:O11"/>
    <mergeCell ref="B35:C35"/>
    <mergeCell ref="B40:C40"/>
    <mergeCell ref="B44:C44"/>
    <mergeCell ref="B34:C34"/>
    <mergeCell ref="B43:C43"/>
    <mergeCell ref="B39:C39"/>
    <mergeCell ref="B32:C32"/>
    <mergeCell ref="B33:C33"/>
    <mergeCell ref="A7:A8"/>
    <mergeCell ref="G7:G8"/>
    <mergeCell ref="D7:D8"/>
    <mergeCell ref="B7:C8"/>
    <mergeCell ref="A1:J2"/>
    <mergeCell ref="H7:H8"/>
    <mergeCell ref="I7:J7"/>
    <mergeCell ref="E7:E8"/>
  </mergeCells>
  <phoneticPr fontId="6" type="noConversion"/>
  <conditionalFormatting sqref="A14:A17">
    <cfRule type="duplicateValues" dxfId="1" priority="2"/>
  </conditionalFormatting>
  <conditionalFormatting sqref="A23:A25">
    <cfRule type="duplicateValues" dxfId="0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5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44AE-4B42-45A1-8DB6-BC91F2E3FC76}">
  <sheetPr>
    <tabColor theme="8" tint="-0.249977111117893"/>
    <pageSetUpPr fitToPage="1"/>
  </sheetPr>
  <dimension ref="A1:D98"/>
  <sheetViews>
    <sheetView workbookViewId="0">
      <selection activeCell="H26" sqref="H26"/>
    </sheetView>
  </sheetViews>
  <sheetFormatPr defaultRowHeight="12.75"/>
  <sheetData>
    <row r="1" spans="1:4">
      <c r="A1" t="s">
        <v>556</v>
      </c>
      <c r="B1" t="s">
        <v>557</v>
      </c>
      <c r="C1" t="s">
        <v>220</v>
      </c>
      <c r="D1">
        <v>4222.1400000000003</v>
      </c>
    </row>
    <row r="2" spans="1:4">
      <c r="A2" t="s">
        <v>558</v>
      </c>
      <c r="B2" t="s">
        <v>559</v>
      </c>
      <c r="C2" t="s">
        <v>220</v>
      </c>
      <c r="D2">
        <v>5629.52</v>
      </c>
    </row>
    <row r="3" spans="1:4">
      <c r="A3" t="s">
        <v>197</v>
      </c>
      <c r="B3" t="s">
        <v>196</v>
      </c>
      <c r="C3" t="s">
        <v>220</v>
      </c>
      <c r="D3">
        <v>9740.8700000000008</v>
      </c>
    </row>
    <row r="4" spans="1:4">
      <c r="A4" t="s">
        <v>560</v>
      </c>
      <c r="B4" t="s">
        <v>561</v>
      </c>
      <c r="C4" t="s">
        <v>220</v>
      </c>
      <c r="D4">
        <v>3731.91</v>
      </c>
    </row>
    <row r="5" spans="1:4">
      <c r="A5" t="s">
        <v>562</v>
      </c>
      <c r="B5" t="s">
        <v>563</v>
      </c>
      <c r="C5" t="s">
        <v>220</v>
      </c>
      <c r="D5">
        <v>4975.88</v>
      </c>
    </row>
    <row r="6" spans="1:4">
      <c r="A6" t="s">
        <v>564</v>
      </c>
      <c r="B6" t="s">
        <v>565</v>
      </c>
      <c r="C6" t="s">
        <v>220</v>
      </c>
      <c r="D6">
        <v>8853.75</v>
      </c>
    </row>
    <row r="7" spans="1:4">
      <c r="A7" t="s">
        <v>566</v>
      </c>
      <c r="B7" t="s">
        <v>567</v>
      </c>
      <c r="C7" t="s">
        <v>220</v>
      </c>
      <c r="D7">
        <v>11067</v>
      </c>
    </row>
    <row r="8" spans="1:4">
      <c r="A8" t="s">
        <v>568</v>
      </c>
      <c r="B8" t="s">
        <v>569</v>
      </c>
      <c r="C8" t="s">
        <v>220</v>
      </c>
      <c r="D8">
        <v>11492.2</v>
      </c>
    </row>
    <row r="9" spans="1:4">
      <c r="A9" t="s">
        <v>570</v>
      </c>
      <c r="B9" t="s">
        <v>571</v>
      </c>
      <c r="C9" t="s">
        <v>220</v>
      </c>
      <c r="D9">
        <v>14185.72</v>
      </c>
    </row>
    <row r="10" spans="1:4">
      <c r="A10" t="s">
        <v>572</v>
      </c>
      <c r="B10" t="s">
        <v>573</v>
      </c>
      <c r="C10" t="s">
        <v>220</v>
      </c>
      <c r="D10">
        <v>2867.66</v>
      </c>
    </row>
    <row r="11" spans="1:4">
      <c r="A11" t="s">
        <v>574</v>
      </c>
      <c r="B11" t="s">
        <v>575</v>
      </c>
      <c r="C11" t="s">
        <v>220</v>
      </c>
      <c r="D11">
        <v>3823.55</v>
      </c>
    </row>
    <row r="12" spans="1:4">
      <c r="A12" t="s">
        <v>576</v>
      </c>
      <c r="B12" t="s">
        <v>577</v>
      </c>
      <c r="C12" t="s">
        <v>220</v>
      </c>
      <c r="D12">
        <v>6517.04</v>
      </c>
    </row>
    <row r="13" spans="1:4">
      <c r="A13" t="s">
        <v>578</v>
      </c>
      <c r="B13" t="s">
        <v>579</v>
      </c>
      <c r="C13" t="s">
        <v>220</v>
      </c>
      <c r="D13">
        <v>1428.53</v>
      </c>
    </row>
    <row r="14" spans="1:4">
      <c r="A14" t="s">
        <v>193</v>
      </c>
      <c r="B14" t="s">
        <v>580</v>
      </c>
      <c r="C14" t="s">
        <v>220</v>
      </c>
      <c r="D14">
        <v>1708.51</v>
      </c>
    </row>
    <row r="15" spans="1:4">
      <c r="A15" t="s">
        <v>581</v>
      </c>
      <c r="B15" t="s">
        <v>582</v>
      </c>
      <c r="C15" t="s">
        <v>220</v>
      </c>
      <c r="D15">
        <v>1609.67</v>
      </c>
    </row>
    <row r="16" spans="1:4">
      <c r="A16" t="s">
        <v>583</v>
      </c>
      <c r="B16" t="s">
        <v>584</v>
      </c>
      <c r="C16" t="s">
        <v>220</v>
      </c>
      <c r="D16">
        <v>1428.53</v>
      </c>
    </row>
    <row r="17" spans="1:4">
      <c r="A17" t="s">
        <v>585</v>
      </c>
      <c r="B17" t="s">
        <v>586</v>
      </c>
      <c r="C17" t="s">
        <v>220</v>
      </c>
      <c r="D17">
        <v>3084.04</v>
      </c>
    </row>
    <row r="18" spans="1:4">
      <c r="A18" t="s">
        <v>587</v>
      </c>
      <c r="B18" t="s">
        <v>588</v>
      </c>
      <c r="C18" t="s">
        <v>220</v>
      </c>
      <c r="D18">
        <v>4112.0600000000004</v>
      </c>
    </row>
    <row r="19" spans="1:4">
      <c r="A19" t="s">
        <v>589</v>
      </c>
      <c r="B19" t="s">
        <v>590</v>
      </c>
      <c r="C19" t="s">
        <v>220</v>
      </c>
      <c r="D19">
        <v>7148.83</v>
      </c>
    </row>
    <row r="20" spans="1:4">
      <c r="A20" t="s">
        <v>591</v>
      </c>
      <c r="B20" t="s">
        <v>592</v>
      </c>
      <c r="C20" t="s">
        <v>220</v>
      </c>
      <c r="D20">
        <v>3122.68</v>
      </c>
    </row>
    <row r="21" spans="1:4">
      <c r="A21" t="s">
        <v>593</v>
      </c>
      <c r="B21" t="s">
        <v>594</v>
      </c>
      <c r="C21" t="s">
        <v>220</v>
      </c>
      <c r="D21">
        <v>3909.36</v>
      </c>
    </row>
    <row r="22" spans="1:4">
      <c r="A22" t="s">
        <v>595</v>
      </c>
      <c r="B22" t="s">
        <v>596</v>
      </c>
      <c r="C22" t="s">
        <v>220</v>
      </c>
      <c r="D22">
        <v>5212.47</v>
      </c>
    </row>
    <row r="23" spans="1:4">
      <c r="A23" t="s">
        <v>597</v>
      </c>
      <c r="B23" t="s">
        <v>598</v>
      </c>
      <c r="C23" t="s">
        <v>220</v>
      </c>
      <c r="D23">
        <v>9737.02</v>
      </c>
    </row>
    <row r="24" spans="1:4">
      <c r="A24" t="s">
        <v>599</v>
      </c>
      <c r="B24" t="s">
        <v>600</v>
      </c>
      <c r="C24" t="s">
        <v>220</v>
      </c>
      <c r="D24">
        <v>15552.43</v>
      </c>
    </row>
    <row r="25" spans="1:4">
      <c r="A25" t="s">
        <v>601</v>
      </c>
      <c r="B25" t="s">
        <v>602</v>
      </c>
      <c r="C25" t="s">
        <v>220</v>
      </c>
      <c r="D25">
        <v>4306.55</v>
      </c>
    </row>
    <row r="26" spans="1:4">
      <c r="A26" t="s">
        <v>603</v>
      </c>
      <c r="B26" t="s">
        <v>604</v>
      </c>
      <c r="C26" t="s">
        <v>220</v>
      </c>
      <c r="D26">
        <v>5742.07</v>
      </c>
    </row>
    <row r="27" spans="1:4">
      <c r="A27" t="s">
        <v>605</v>
      </c>
      <c r="B27" t="s">
        <v>606</v>
      </c>
      <c r="C27" t="s">
        <v>220</v>
      </c>
      <c r="D27">
        <v>9853.56</v>
      </c>
    </row>
    <row r="28" spans="1:4">
      <c r="A28" t="s">
        <v>607</v>
      </c>
      <c r="B28" t="s">
        <v>608</v>
      </c>
      <c r="C28" t="s">
        <v>220</v>
      </c>
      <c r="D28">
        <v>11067</v>
      </c>
    </row>
    <row r="29" spans="1:4">
      <c r="A29" t="s">
        <v>609</v>
      </c>
      <c r="B29" t="s">
        <v>610</v>
      </c>
      <c r="C29" t="s">
        <v>220</v>
      </c>
      <c r="D29">
        <v>12027.17</v>
      </c>
    </row>
    <row r="30" spans="1:4">
      <c r="A30" t="s">
        <v>611</v>
      </c>
      <c r="B30" t="s">
        <v>612</v>
      </c>
      <c r="C30" t="s">
        <v>220</v>
      </c>
      <c r="D30">
        <v>12987.35</v>
      </c>
    </row>
    <row r="31" spans="1:4">
      <c r="A31" t="s">
        <v>613</v>
      </c>
      <c r="B31" t="s">
        <v>614</v>
      </c>
      <c r="C31" t="s">
        <v>220</v>
      </c>
      <c r="D31">
        <v>11067</v>
      </c>
    </row>
    <row r="32" spans="1:4">
      <c r="A32" t="s">
        <v>615</v>
      </c>
      <c r="B32" t="s">
        <v>616</v>
      </c>
      <c r="C32" t="s">
        <v>220</v>
      </c>
      <c r="D32">
        <v>11113.77</v>
      </c>
    </row>
    <row r="33" spans="1:4">
      <c r="A33" t="s">
        <v>204</v>
      </c>
      <c r="B33" t="s">
        <v>617</v>
      </c>
      <c r="C33" t="s">
        <v>220</v>
      </c>
      <c r="D33">
        <v>13306.5</v>
      </c>
    </row>
    <row r="34" spans="1:4">
      <c r="A34" t="s">
        <v>618</v>
      </c>
      <c r="B34" t="s">
        <v>619</v>
      </c>
      <c r="C34" t="s">
        <v>220</v>
      </c>
      <c r="D34">
        <v>20421.759999999998</v>
      </c>
    </row>
    <row r="35" spans="1:4">
      <c r="A35" t="s">
        <v>183</v>
      </c>
      <c r="B35" t="s">
        <v>620</v>
      </c>
      <c r="C35" t="s">
        <v>220</v>
      </c>
      <c r="D35">
        <v>17018.13</v>
      </c>
    </row>
    <row r="36" spans="1:4">
      <c r="A36" t="s">
        <v>621</v>
      </c>
      <c r="B36" t="s">
        <v>622</v>
      </c>
      <c r="C36" t="s">
        <v>220</v>
      </c>
      <c r="D36">
        <v>11067</v>
      </c>
    </row>
    <row r="37" spans="1:4">
      <c r="A37" t="s">
        <v>623</v>
      </c>
      <c r="B37" t="s">
        <v>624</v>
      </c>
      <c r="C37" t="s">
        <v>220</v>
      </c>
      <c r="D37">
        <v>11199.09</v>
      </c>
    </row>
    <row r="38" spans="1:4">
      <c r="A38" t="s">
        <v>625</v>
      </c>
      <c r="B38" t="s">
        <v>626</v>
      </c>
      <c r="C38" t="s">
        <v>220</v>
      </c>
      <c r="D38">
        <v>12672.11</v>
      </c>
    </row>
    <row r="39" spans="1:4">
      <c r="A39" t="s">
        <v>190</v>
      </c>
      <c r="B39" t="s">
        <v>627</v>
      </c>
      <c r="C39" t="s">
        <v>220</v>
      </c>
      <c r="D39">
        <v>11067</v>
      </c>
    </row>
    <row r="40" spans="1:4">
      <c r="A40" t="s">
        <v>187</v>
      </c>
      <c r="B40" t="s">
        <v>628</v>
      </c>
      <c r="C40" t="s">
        <v>220</v>
      </c>
      <c r="D40">
        <v>11469.24</v>
      </c>
    </row>
    <row r="41" spans="1:4">
      <c r="A41" t="s">
        <v>199</v>
      </c>
      <c r="B41" t="s">
        <v>629</v>
      </c>
      <c r="C41" t="s">
        <v>220</v>
      </c>
      <c r="D41">
        <v>14672.91</v>
      </c>
    </row>
    <row r="42" spans="1:4">
      <c r="A42" t="s">
        <v>630</v>
      </c>
      <c r="B42" t="s">
        <v>631</v>
      </c>
      <c r="C42" t="s">
        <v>220</v>
      </c>
      <c r="D42">
        <v>11067</v>
      </c>
    </row>
    <row r="43" spans="1:4">
      <c r="A43" t="s">
        <v>632</v>
      </c>
      <c r="B43" t="s">
        <v>633</v>
      </c>
      <c r="C43" t="s">
        <v>220</v>
      </c>
      <c r="D43">
        <v>11199.11</v>
      </c>
    </row>
    <row r="44" spans="1:4">
      <c r="A44" t="s">
        <v>634</v>
      </c>
      <c r="B44" t="s">
        <v>635</v>
      </c>
      <c r="C44" t="s">
        <v>220</v>
      </c>
      <c r="D44">
        <v>12672.11</v>
      </c>
    </row>
    <row r="45" spans="1:4">
      <c r="A45" t="s">
        <v>636</v>
      </c>
      <c r="B45" t="s">
        <v>637</v>
      </c>
      <c r="C45" t="s">
        <v>220</v>
      </c>
      <c r="D45">
        <v>10004.5</v>
      </c>
    </row>
    <row r="46" spans="1:4">
      <c r="A46" t="s">
        <v>638</v>
      </c>
      <c r="B46" t="s">
        <v>639</v>
      </c>
      <c r="C46" t="s">
        <v>220</v>
      </c>
      <c r="D46">
        <v>10526.36</v>
      </c>
    </row>
    <row r="47" spans="1:4">
      <c r="A47" t="s">
        <v>640</v>
      </c>
      <c r="B47" t="s">
        <v>641</v>
      </c>
      <c r="C47" t="s">
        <v>220</v>
      </c>
      <c r="D47">
        <v>14001.61</v>
      </c>
    </row>
    <row r="48" spans="1:4">
      <c r="A48" t="s">
        <v>642</v>
      </c>
      <c r="B48" t="s">
        <v>643</v>
      </c>
      <c r="C48" t="s">
        <v>220</v>
      </c>
      <c r="D48">
        <v>2682.71</v>
      </c>
    </row>
    <row r="49" spans="1:4">
      <c r="A49" t="s">
        <v>644</v>
      </c>
      <c r="B49" t="s">
        <v>645</v>
      </c>
      <c r="C49" t="s">
        <v>220</v>
      </c>
      <c r="D49">
        <v>3576.94</v>
      </c>
    </row>
    <row r="50" spans="1:4">
      <c r="A50" t="s">
        <v>646</v>
      </c>
      <c r="B50" t="s">
        <v>647</v>
      </c>
      <c r="C50" t="s">
        <v>220</v>
      </c>
      <c r="D50">
        <v>6931.43</v>
      </c>
    </row>
    <row r="51" spans="1:4">
      <c r="A51" t="s">
        <v>648</v>
      </c>
      <c r="B51" t="s">
        <v>649</v>
      </c>
      <c r="C51" t="s">
        <v>220</v>
      </c>
      <c r="D51">
        <v>2146.23</v>
      </c>
    </row>
    <row r="52" spans="1:4">
      <c r="A52" t="s">
        <v>650</v>
      </c>
      <c r="B52" t="s">
        <v>651</v>
      </c>
      <c r="C52" t="s">
        <v>220</v>
      </c>
      <c r="D52">
        <v>11067</v>
      </c>
    </row>
    <row r="53" spans="1:4">
      <c r="A53" t="s">
        <v>652</v>
      </c>
      <c r="B53" t="s">
        <v>653</v>
      </c>
      <c r="C53" t="s">
        <v>220</v>
      </c>
      <c r="D53">
        <v>4696.66</v>
      </c>
    </row>
    <row r="54" spans="1:4">
      <c r="A54" t="s">
        <v>654</v>
      </c>
      <c r="B54" t="s">
        <v>655</v>
      </c>
      <c r="C54" t="s">
        <v>220</v>
      </c>
      <c r="D54">
        <v>6262.21</v>
      </c>
    </row>
    <row r="55" spans="1:4">
      <c r="A55" t="s">
        <v>656</v>
      </c>
      <c r="B55" t="s">
        <v>657</v>
      </c>
      <c r="C55" t="s">
        <v>220</v>
      </c>
      <c r="D55">
        <v>10569.08</v>
      </c>
    </row>
    <row r="56" spans="1:4">
      <c r="A56" t="s">
        <v>658</v>
      </c>
      <c r="B56" t="s">
        <v>659</v>
      </c>
      <c r="C56" t="s">
        <v>220</v>
      </c>
      <c r="D56">
        <v>2096.81</v>
      </c>
    </row>
    <row r="57" spans="1:4">
      <c r="A57" t="s">
        <v>660</v>
      </c>
      <c r="B57" t="s">
        <v>661</v>
      </c>
      <c r="C57" t="s">
        <v>220</v>
      </c>
      <c r="D57">
        <v>1918.44</v>
      </c>
    </row>
    <row r="58" spans="1:4">
      <c r="A58" t="s">
        <v>662</v>
      </c>
      <c r="B58" t="s">
        <v>663</v>
      </c>
      <c r="C58" t="s">
        <v>220</v>
      </c>
      <c r="D58">
        <v>4509.57</v>
      </c>
    </row>
    <row r="59" spans="1:4">
      <c r="A59" t="s">
        <v>664</v>
      </c>
      <c r="B59" t="s">
        <v>665</v>
      </c>
      <c r="C59" t="s">
        <v>220</v>
      </c>
      <c r="D59">
        <v>6012.77</v>
      </c>
    </row>
    <row r="60" spans="1:4">
      <c r="A60" t="s">
        <v>666</v>
      </c>
      <c r="B60" t="s">
        <v>667</v>
      </c>
      <c r="C60" t="s">
        <v>220</v>
      </c>
      <c r="D60">
        <v>9797.51</v>
      </c>
    </row>
    <row r="61" spans="1:4">
      <c r="A61" t="s">
        <v>668</v>
      </c>
      <c r="B61" t="s">
        <v>669</v>
      </c>
      <c r="C61" t="s">
        <v>220</v>
      </c>
      <c r="D61">
        <v>2605.46</v>
      </c>
    </row>
    <row r="62" spans="1:4">
      <c r="A62" t="s">
        <v>670</v>
      </c>
      <c r="B62" t="s">
        <v>671</v>
      </c>
      <c r="C62" t="s">
        <v>220</v>
      </c>
      <c r="D62">
        <v>3473.94</v>
      </c>
    </row>
    <row r="63" spans="1:4">
      <c r="A63" t="s">
        <v>672</v>
      </c>
      <c r="B63" t="s">
        <v>673</v>
      </c>
      <c r="C63" t="s">
        <v>220</v>
      </c>
      <c r="D63">
        <v>5794.12</v>
      </c>
    </row>
    <row r="64" spans="1:4">
      <c r="A64" t="s">
        <v>674</v>
      </c>
      <c r="B64" t="s">
        <v>675</v>
      </c>
      <c r="C64" t="s">
        <v>220</v>
      </c>
      <c r="D64">
        <v>2335.81</v>
      </c>
    </row>
    <row r="65" spans="1:4">
      <c r="A65" t="s">
        <v>676</v>
      </c>
      <c r="B65" t="s">
        <v>677</v>
      </c>
      <c r="C65" t="s">
        <v>220</v>
      </c>
      <c r="D65">
        <v>1843.72</v>
      </c>
    </row>
    <row r="66" spans="1:4">
      <c r="A66" t="s">
        <v>678</v>
      </c>
      <c r="B66" t="s">
        <v>679</v>
      </c>
      <c r="C66" t="s">
        <v>220</v>
      </c>
      <c r="D66">
        <v>2751.31</v>
      </c>
    </row>
    <row r="67" spans="1:4">
      <c r="A67" t="s">
        <v>680</v>
      </c>
      <c r="B67" t="s">
        <v>681</v>
      </c>
      <c r="C67" t="s">
        <v>220</v>
      </c>
      <c r="D67">
        <v>3091.07</v>
      </c>
    </row>
    <row r="68" spans="1:4">
      <c r="A68" t="s">
        <v>682</v>
      </c>
      <c r="B68" t="s">
        <v>683</v>
      </c>
      <c r="C68" t="s">
        <v>220</v>
      </c>
      <c r="D68">
        <v>4293.3999999999996</v>
      </c>
    </row>
    <row r="69" spans="1:4">
      <c r="A69" t="s">
        <v>207</v>
      </c>
      <c r="B69" t="s">
        <v>206</v>
      </c>
      <c r="C69" t="s">
        <v>220</v>
      </c>
      <c r="D69">
        <v>2522.7600000000002</v>
      </c>
    </row>
    <row r="70" spans="1:4">
      <c r="A70" t="s">
        <v>684</v>
      </c>
      <c r="B70" t="s">
        <v>685</v>
      </c>
      <c r="C70" t="s">
        <v>220</v>
      </c>
      <c r="D70">
        <v>3610.93</v>
      </c>
    </row>
    <row r="71" spans="1:4">
      <c r="A71" t="s">
        <v>686</v>
      </c>
      <c r="B71" t="s">
        <v>687</v>
      </c>
      <c r="C71" t="s">
        <v>220</v>
      </c>
      <c r="D71">
        <v>2323.3000000000002</v>
      </c>
    </row>
    <row r="72" spans="1:4">
      <c r="A72" t="s">
        <v>688</v>
      </c>
      <c r="B72" t="s">
        <v>689</v>
      </c>
      <c r="C72" t="s">
        <v>220</v>
      </c>
      <c r="D72">
        <v>2018.26</v>
      </c>
    </row>
    <row r="73" spans="1:4">
      <c r="A73" t="s">
        <v>690</v>
      </c>
      <c r="B73" t="s">
        <v>691</v>
      </c>
      <c r="C73" t="s">
        <v>220</v>
      </c>
      <c r="D73">
        <v>2691.02</v>
      </c>
    </row>
    <row r="74" spans="1:4">
      <c r="A74" t="s">
        <v>692</v>
      </c>
      <c r="B74" t="s">
        <v>693</v>
      </c>
      <c r="C74" t="s">
        <v>220</v>
      </c>
      <c r="D74">
        <v>4219.38</v>
      </c>
    </row>
    <row r="75" spans="1:4">
      <c r="A75" t="s">
        <v>694</v>
      </c>
      <c r="B75" t="s">
        <v>695</v>
      </c>
      <c r="C75" t="s">
        <v>220</v>
      </c>
      <c r="D75">
        <v>3097.97</v>
      </c>
    </row>
    <row r="76" spans="1:4">
      <c r="A76" t="s">
        <v>696</v>
      </c>
      <c r="B76" t="s">
        <v>697</v>
      </c>
      <c r="C76" t="s">
        <v>220</v>
      </c>
      <c r="D76">
        <v>4130.62</v>
      </c>
    </row>
    <row r="77" spans="1:4">
      <c r="A77" t="s">
        <v>698</v>
      </c>
      <c r="B77" t="s">
        <v>699</v>
      </c>
      <c r="C77" t="s">
        <v>220</v>
      </c>
      <c r="D77">
        <v>7233.66</v>
      </c>
    </row>
    <row r="78" spans="1:4">
      <c r="A78" t="s">
        <v>700</v>
      </c>
      <c r="B78" t="s">
        <v>701</v>
      </c>
      <c r="C78" t="s">
        <v>220</v>
      </c>
      <c r="D78">
        <v>11067</v>
      </c>
    </row>
    <row r="79" spans="1:4">
      <c r="A79" t="s">
        <v>702</v>
      </c>
      <c r="B79" t="s">
        <v>703</v>
      </c>
      <c r="C79" t="s">
        <v>220</v>
      </c>
      <c r="D79">
        <v>11198.11</v>
      </c>
    </row>
    <row r="80" spans="1:4">
      <c r="A80" t="s">
        <v>704</v>
      </c>
      <c r="B80" t="s">
        <v>705</v>
      </c>
      <c r="C80" t="s">
        <v>220</v>
      </c>
      <c r="D80">
        <v>12047.23</v>
      </c>
    </row>
    <row r="81" spans="1:4">
      <c r="A81" t="s">
        <v>706</v>
      </c>
      <c r="B81" t="s">
        <v>707</v>
      </c>
      <c r="C81" t="s">
        <v>220</v>
      </c>
      <c r="D81">
        <v>3351.22</v>
      </c>
    </row>
    <row r="82" spans="1:4">
      <c r="A82" t="s">
        <v>708</v>
      </c>
      <c r="B82" t="s">
        <v>709</v>
      </c>
      <c r="C82" t="s">
        <v>220</v>
      </c>
      <c r="D82">
        <v>4468.29</v>
      </c>
    </row>
    <row r="83" spans="1:4">
      <c r="A83" t="s">
        <v>710</v>
      </c>
      <c r="B83" t="s">
        <v>711</v>
      </c>
      <c r="C83" t="s">
        <v>220</v>
      </c>
      <c r="D83">
        <v>8514.33</v>
      </c>
    </row>
    <row r="84" spans="1:4">
      <c r="A84" t="s">
        <v>712</v>
      </c>
      <c r="B84" t="s">
        <v>713</v>
      </c>
      <c r="C84" t="s">
        <v>220</v>
      </c>
      <c r="D84">
        <v>3165.46</v>
      </c>
    </row>
    <row r="85" spans="1:4">
      <c r="A85" t="s">
        <v>714</v>
      </c>
      <c r="B85" t="s">
        <v>715</v>
      </c>
      <c r="C85" t="s">
        <v>220</v>
      </c>
      <c r="D85">
        <v>4220.6099999999997</v>
      </c>
    </row>
    <row r="86" spans="1:4">
      <c r="A86" t="s">
        <v>716</v>
      </c>
      <c r="B86" t="s">
        <v>717</v>
      </c>
      <c r="C86" t="s">
        <v>220</v>
      </c>
      <c r="D86">
        <v>6078.95</v>
      </c>
    </row>
    <row r="87" spans="1:4">
      <c r="A87" t="s">
        <v>718</v>
      </c>
      <c r="B87" t="s">
        <v>719</v>
      </c>
      <c r="C87" t="s">
        <v>220</v>
      </c>
      <c r="D87">
        <v>3085.16</v>
      </c>
    </row>
    <row r="88" spans="1:4">
      <c r="A88" t="s">
        <v>720</v>
      </c>
      <c r="B88" t="s">
        <v>721</v>
      </c>
      <c r="C88" t="s">
        <v>220</v>
      </c>
      <c r="D88">
        <v>4113.55</v>
      </c>
    </row>
    <row r="89" spans="1:4">
      <c r="A89" t="s">
        <v>722</v>
      </c>
      <c r="B89" t="s">
        <v>723</v>
      </c>
      <c r="C89" t="s">
        <v>220</v>
      </c>
      <c r="D89">
        <v>5832.14</v>
      </c>
    </row>
    <row r="90" spans="1:4">
      <c r="A90" t="s">
        <v>724</v>
      </c>
      <c r="B90" t="s">
        <v>725</v>
      </c>
      <c r="C90" t="s">
        <v>220</v>
      </c>
      <c r="D90">
        <v>3325.64</v>
      </c>
    </row>
    <row r="91" spans="1:4">
      <c r="A91" t="s">
        <v>726</v>
      </c>
      <c r="B91" t="s">
        <v>727</v>
      </c>
      <c r="C91" t="s">
        <v>220</v>
      </c>
      <c r="D91">
        <v>4434.18</v>
      </c>
    </row>
    <row r="92" spans="1:4">
      <c r="A92" t="s">
        <v>728</v>
      </c>
      <c r="B92" t="s">
        <v>729</v>
      </c>
      <c r="C92" t="s">
        <v>220</v>
      </c>
      <c r="D92">
        <v>7403.84</v>
      </c>
    </row>
    <row r="93" spans="1:4">
      <c r="A93" t="s">
        <v>730</v>
      </c>
      <c r="B93" t="s">
        <v>731</v>
      </c>
      <c r="C93" t="s">
        <v>220</v>
      </c>
      <c r="D93">
        <v>3141.84</v>
      </c>
    </row>
    <row r="94" spans="1:4">
      <c r="A94" t="s">
        <v>732</v>
      </c>
      <c r="B94" t="s">
        <v>733</v>
      </c>
      <c r="C94" t="s">
        <v>220</v>
      </c>
      <c r="D94">
        <v>4189.13</v>
      </c>
    </row>
    <row r="95" spans="1:4">
      <c r="A95" t="s">
        <v>734</v>
      </c>
      <c r="B95" t="s">
        <v>735</v>
      </c>
      <c r="C95" t="s">
        <v>220</v>
      </c>
      <c r="D95">
        <v>6069.84</v>
      </c>
    </row>
    <row r="96" spans="1:4">
      <c r="A96" t="s">
        <v>736</v>
      </c>
      <c r="B96" t="s">
        <v>737</v>
      </c>
      <c r="C96" t="s">
        <v>220</v>
      </c>
      <c r="D96">
        <v>3782.76</v>
      </c>
    </row>
    <row r="97" spans="1:4">
      <c r="A97" t="s">
        <v>738</v>
      </c>
      <c r="B97" t="s">
        <v>739</v>
      </c>
      <c r="C97" t="s">
        <v>220</v>
      </c>
      <c r="D97">
        <v>5043.67</v>
      </c>
    </row>
    <row r="98" spans="1:4">
      <c r="A98" t="s">
        <v>740</v>
      </c>
      <c r="B98" t="s">
        <v>741</v>
      </c>
      <c r="C98" t="s">
        <v>220</v>
      </c>
      <c r="D98">
        <v>7915.13</v>
      </c>
    </row>
  </sheetData>
  <pageMargins left="0.511811024" right="0.511811024" top="0.78740157499999996" bottom="0.78740157499999996" header="0.31496062000000002" footer="0.31496062000000002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3C33-6FB7-41ED-855D-4DF10E85575D}">
  <sheetPr>
    <tabColor theme="8" tint="-0.249977111117893"/>
    <pageSetUpPr fitToPage="1"/>
  </sheetPr>
  <dimension ref="A1:Y24"/>
  <sheetViews>
    <sheetView workbookViewId="0">
      <selection activeCell="L26" sqref="L26"/>
    </sheetView>
  </sheetViews>
  <sheetFormatPr defaultColWidth="9.140625" defaultRowHeight="15.75"/>
  <cols>
    <col min="1" max="1" width="10.42578125" style="179" customWidth="1"/>
    <col min="2" max="10" width="11.7109375" style="179" customWidth="1"/>
    <col min="11" max="11" width="12.7109375" style="179" customWidth="1"/>
    <col min="12" max="13" width="9.5703125" style="179" bestFit="1" customWidth="1"/>
    <col min="14" max="17" width="3.85546875" style="179" customWidth="1"/>
    <col min="18" max="18" width="14.85546875" style="83" customWidth="1"/>
    <col min="19" max="19" width="15.28515625" style="83" customWidth="1"/>
    <col min="20" max="20" width="14" style="83" customWidth="1"/>
    <col min="21" max="21" width="9.140625" style="83"/>
    <col min="22" max="22" width="12" style="83" customWidth="1"/>
    <col min="23" max="23" width="17.140625" style="83" bestFit="1" customWidth="1"/>
    <col min="24" max="25" width="15.42578125" style="83" customWidth="1"/>
    <col min="26" max="16384" width="9.140625" style="179"/>
  </cols>
  <sheetData>
    <row r="1" spans="1:14">
      <c r="A1" s="658" t="s">
        <v>509</v>
      </c>
      <c r="B1" s="658"/>
      <c r="C1" s="658"/>
      <c r="D1" s="658"/>
      <c r="E1" s="658"/>
      <c r="F1" s="658"/>
      <c r="G1" s="658"/>
      <c r="H1" s="658"/>
      <c r="I1" s="658"/>
      <c r="J1" s="546" t="s">
        <v>134</v>
      </c>
      <c r="K1" s="547">
        <f>[1]Capa!C51</f>
        <v>45161</v>
      </c>
      <c r="L1" s="56"/>
      <c r="M1" s="56"/>
      <c r="N1" s="56"/>
    </row>
    <row r="2" spans="1:14">
      <c r="A2" s="659" t="s">
        <v>510</v>
      </c>
      <c r="B2" s="659"/>
      <c r="C2" s="659"/>
      <c r="D2" s="659"/>
      <c r="E2" s="659"/>
      <c r="F2" s="659"/>
      <c r="G2" s="659"/>
      <c r="H2" s="659"/>
      <c r="I2" s="659"/>
      <c r="J2" s="548"/>
      <c r="K2" s="549"/>
    </row>
    <row r="3" spans="1:14">
      <c r="A3" s="660" t="s">
        <v>511</v>
      </c>
      <c r="B3" s="660"/>
      <c r="C3" s="660"/>
      <c r="D3" s="660"/>
      <c r="E3" s="660"/>
      <c r="F3" s="660"/>
      <c r="G3" s="660"/>
      <c r="H3" s="660"/>
      <c r="I3" s="660"/>
      <c r="J3" s="550"/>
      <c r="K3" s="183"/>
    </row>
    <row r="4" spans="1:14">
      <c r="B4" s="108"/>
      <c r="C4" s="108"/>
      <c r="D4" s="108"/>
      <c r="E4" s="109"/>
      <c r="F4" s="109"/>
      <c r="G4" s="108"/>
      <c r="H4" s="110"/>
      <c r="I4" s="110"/>
      <c r="J4" s="110"/>
      <c r="K4" s="111"/>
    </row>
    <row r="5" spans="1:14">
      <c r="A5" s="551" t="s">
        <v>512</v>
      </c>
      <c r="B5" s="551">
        <v>2012</v>
      </c>
      <c r="C5" s="551">
        <v>2013</v>
      </c>
      <c r="D5" s="551">
        <v>2014</v>
      </c>
      <c r="E5" s="551">
        <v>2015</v>
      </c>
      <c r="F5" s="551">
        <v>2016</v>
      </c>
      <c r="G5" s="551">
        <v>2017</v>
      </c>
      <c r="H5" s="551">
        <v>2018</v>
      </c>
      <c r="I5" s="551">
        <v>2019</v>
      </c>
      <c r="J5" s="551">
        <v>2020</v>
      </c>
      <c r="K5" s="551">
        <v>2021</v>
      </c>
      <c r="L5" s="551">
        <v>2022</v>
      </c>
      <c r="M5" s="551">
        <v>2023</v>
      </c>
      <c r="N5" s="42"/>
    </row>
    <row r="6" spans="1:14">
      <c r="A6" s="552" t="s">
        <v>513</v>
      </c>
      <c r="B6" s="553">
        <v>178.82900000000001</v>
      </c>
      <c r="C6" s="553">
        <v>185.32499999999999</v>
      </c>
      <c r="D6" s="553">
        <v>192.333</v>
      </c>
      <c r="E6" s="553">
        <v>199.928</v>
      </c>
      <c r="F6" s="553">
        <v>206.78399999999999</v>
      </c>
      <c r="G6" s="553">
        <v>213.434</v>
      </c>
      <c r="H6" s="553">
        <v>220.124</v>
      </c>
      <c r="I6" s="553">
        <v>226.40899999999999</v>
      </c>
      <c r="J6" s="553">
        <v>239.08600000000001</v>
      </c>
      <c r="K6" s="553">
        <v>245.714</v>
      </c>
      <c r="L6" s="553">
        <v>258.00900000000001</v>
      </c>
      <c r="M6" s="553">
        <v>276.13299999999998</v>
      </c>
    </row>
    <row r="7" spans="1:14">
      <c r="A7" s="554" t="s">
        <v>514</v>
      </c>
      <c r="B7" s="555">
        <v>178.45599999999999</v>
      </c>
      <c r="C7" s="555">
        <v>185.47399999999999</v>
      </c>
      <c r="D7" s="555">
        <v>192.614</v>
      </c>
      <c r="E7" s="555">
        <v>200.41499999999999</v>
      </c>
      <c r="F7" s="555">
        <v>206.10300000000001</v>
      </c>
      <c r="G7" s="555">
        <v>214.39099999999999</v>
      </c>
      <c r="H7" s="555">
        <v>220.74100000000001</v>
      </c>
      <c r="I7" s="555">
        <v>226.11699999999999</v>
      </c>
      <c r="J7" s="556">
        <v>239.69</v>
      </c>
      <c r="K7" s="555">
        <v>245.83600000000001</v>
      </c>
      <c r="L7" s="555">
        <v>259.05</v>
      </c>
      <c r="M7" s="555">
        <v>277.43700000000001</v>
      </c>
    </row>
    <row r="8" spans="1:14">
      <c r="A8" s="552" t="s">
        <v>515</v>
      </c>
      <c r="B8" s="557">
        <v>178.73</v>
      </c>
      <c r="C8" s="553">
        <v>185.97399999999999</v>
      </c>
      <c r="D8" s="553">
        <v>192.91800000000001</v>
      </c>
      <c r="E8" s="553">
        <v>200.952</v>
      </c>
      <c r="F8" s="553">
        <v>206.392</v>
      </c>
      <c r="G8" s="553">
        <v>213.959</v>
      </c>
      <c r="H8" s="553">
        <v>221.529</v>
      </c>
      <c r="I8" s="553">
        <v>225.755</v>
      </c>
      <c r="J8" s="553">
        <v>239.613</v>
      </c>
      <c r="K8" s="553">
        <v>276.13299999999998</v>
      </c>
      <c r="L8" s="553">
        <v>259.78500000000003</v>
      </c>
      <c r="M8" s="553">
        <v>277.09300000000002</v>
      </c>
    </row>
    <row r="9" spans="1:14">
      <c r="A9" s="554" t="s">
        <v>516</v>
      </c>
      <c r="B9" s="555">
        <v>178.98699999999999</v>
      </c>
      <c r="C9" s="555">
        <v>186.15700000000001</v>
      </c>
      <c r="D9" s="555">
        <v>193.488</v>
      </c>
      <c r="E9" s="555">
        <v>201.065</v>
      </c>
      <c r="F9" s="555">
        <v>206.33600000000001</v>
      </c>
      <c r="G9" s="555">
        <v>215.33500000000001</v>
      </c>
      <c r="H9" s="556">
        <v>222.09</v>
      </c>
      <c r="I9" s="555">
        <v>226.119</v>
      </c>
      <c r="J9" s="555">
        <v>239.05500000000001</v>
      </c>
      <c r="K9" s="555">
        <v>247.32599999999999</v>
      </c>
      <c r="L9" s="555">
        <v>259.91300000000001</v>
      </c>
      <c r="M9" s="555">
        <v>277.97199999999998</v>
      </c>
    </row>
    <row r="10" spans="1:14">
      <c r="A10" s="552" t="s">
        <v>517</v>
      </c>
      <c r="B10" s="553">
        <v>180.119</v>
      </c>
      <c r="C10" s="553">
        <v>186.46700000000001</v>
      </c>
      <c r="D10" s="553">
        <v>194.13200000000001</v>
      </c>
      <c r="E10" s="553">
        <v>201.46</v>
      </c>
      <c r="F10" s="553">
        <v>206.78800000000001</v>
      </c>
      <c r="G10" s="553">
        <v>215.28399999999999</v>
      </c>
      <c r="H10" s="553">
        <v>222.637</v>
      </c>
      <c r="I10" s="553">
        <v>227.136</v>
      </c>
      <c r="J10" s="553">
        <v>239.39500000000001</v>
      </c>
      <c r="K10" s="553">
        <v>247.64500000000001</v>
      </c>
      <c r="L10" s="553">
        <v>260.548</v>
      </c>
      <c r="M10" s="553">
        <v>277.43700000000001</v>
      </c>
    </row>
    <row r="11" spans="1:14">
      <c r="A11" s="554" t="s">
        <v>518</v>
      </c>
      <c r="B11" s="555">
        <v>181.55799999999999</v>
      </c>
      <c r="C11" s="555">
        <v>187.994</v>
      </c>
      <c r="D11" s="555">
        <v>195.11600000000001</v>
      </c>
      <c r="E11" s="555">
        <v>201.89400000000001</v>
      </c>
      <c r="F11" s="555">
        <v>208.63800000000001</v>
      </c>
      <c r="G11" s="555">
        <v>216.17599999999999</v>
      </c>
      <c r="H11" s="555">
        <v>223.10900000000001</v>
      </c>
      <c r="I11" s="555">
        <v>229.96600000000001</v>
      </c>
      <c r="J11" s="555">
        <v>240.00299999999999</v>
      </c>
      <c r="K11" s="555">
        <v>249.93700000000001</v>
      </c>
      <c r="L11" s="555">
        <v>263.50200000000001</v>
      </c>
      <c r="M11" s="555">
        <v>282.935</v>
      </c>
    </row>
    <row r="12" spans="1:14">
      <c r="A12" s="552" t="s">
        <v>519</v>
      </c>
      <c r="B12" s="553">
        <v>184.512</v>
      </c>
      <c r="C12" s="553">
        <v>189.39500000000001</v>
      </c>
      <c r="D12" s="553">
        <v>195.94399999999999</v>
      </c>
      <c r="E12" s="553">
        <v>203.065</v>
      </c>
      <c r="F12" s="553">
        <v>209.86699999999999</v>
      </c>
      <c r="G12" s="553">
        <v>216.619</v>
      </c>
      <c r="H12" s="553">
        <v>223.233</v>
      </c>
      <c r="I12" s="553">
        <v>230.827</v>
      </c>
      <c r="J12" s="553">
        <v>240.929</v>
      </c>
      <c r="K12" s="553">
        <v>277.43700000000001</v>
      </c>
      <c r="L12" s="553">
        <v>266.49099999999999</v>
      </c>
      <c r="M12" s="553">
        <v>287.45999999999998</v>
      </c>
    </row>
    <row r="13" spans="1:14">
      <c r="A13" s="554" t="s">
        <v>520</v>
      </c>
      <c r="B13" s="555">
        <v>184.67500000000001</v>
      </c>
      <c r="C13" s="555">
        <v>190.32499999999999</v>
      </c>
      <c r="D13" s="555">
        <v>197.363</v>
      </c>
      <c r="E13" s="555">
        <v>204.333</v>
      </c>
      <c r="F13" s="555">
        <v>210.21199999999999</v>
      </c>
      <c r="G13" s="555">
        <v>216.648</v>
      </c>
      <c r="H13" s="555">
        <v>223.328</v>
      </c>
      <c r="I13" s="555">
        <v>230.78299999999999</v>
      </c>
      <c r="J13" s="555">
        <v>242.10300000000001</v>
      </c>
      <c r="K13" s="555">
        <v>251.964</v>
      </c>
      <c r="L13" s="555">
        <v>269.72000000000003</v>
      </c>
      <c r="M13" s="555"/>
    </row>
    <row r="14" spans="1:14">
      <c r="A14" s="552" t="s">
        <v>521</v>
      </c>
      <c r="B14" s="553">
        <v>184.971</v>
      </c>
      <c r="C14" s="553">
        <v>190.298</v>
      </c>
      <c r="D14" s="553">
        <v>198.27099999999999</v>
      </c>
      <c r="E14" s="557">
        <v>204.68</v>
      </c>
      <c r="F14" s="553">
        <v>210.386</v>
      </c>
      <c r="G14" s="553">
        <v>216.929</v>
      </c>
      <c r="H14" s="553">
        <v>223.666</v>
      </c>
      <c r="I14" s="553">
        <v>231.01900000000001</v>
      </c>
      <c r="J14" s="553">
        <v>243.71799999999999</v>
      </c>
      <c r="K14" s="553">
        <v>252.42500000000001</v>
      </c>
      <c r="L14" s="553">
        <v>270.28800000000001</v>
      </c>
      <c r="M14" s="553"/>
    </row>
    <row r="15" spans="1:14">
      <c r="A15" s="554" t="s">
        <v>522</v>
      </c>
      <c r="B15" s="555">
        <v>184.59200000000001</v>
      </c>
      <c r="C15" s="556">
        <v>190.54</v>
      </c>
      <c r="D15" s="555">
        <v>198.648</v>
      </c>
      <c r="E15" s="555">
        <v>204.73699999999999</v>
      </c>
      <c r="F15" s="555">
        <v>211.327</v>
      </c>
      <c r="G15" s="555">
        <v>217.65100000000001</v>
      </c>
      <c r="H15" s="555">
        <v>224.273</v>
      </c>
      <c r="I15" s="555">
        <v>231.095</v>
      </c>
      <c r="J15" s="555">
        <v>244.381</v>
      </c>
      <c r="K15" s="555">
        <v>255.76599999999999</v>
      </c>
      <c r="L15" s="555">
        <v>271.37200000000001</v>
      </c>
      <c r="M15" s="555"/>
    </row>
    <row r="16" spans="1:14">
      <c r="A16" s="552" t="s">
        <v>523</v>
      </c>
      <c r="B16" s="553">
        <v>184.67099999999999</v>
      </c>
      <c r="C16" s="553">
        <v>190.87200000000001</v>
      </c>
      <c r="D16" s="553">
        <v>199.03700000000001</v>
      </c>
      <c r="E16" s="553">
        <v>205.26300000000001</v>
      </c>
      <c r="F16" s="553">
        <v>211.32499999999999</v>
      </c>
      <c r="G16" s="553">
        <v>218.05799999999999</v>
      </c>
      <c r="H16" s="557">
        <v>225.13</v>
      </c>
      <c r="I16" s="553">
        <v>234.64699999999999</v>
      </c>
      <c r="J16" s="553">
        <v>244.83799999999999</v>
      </c>
      <c r="K16" s="553">
        <v>256.72500000000002</v>
      </c>
      <c r="L16" s="553">
        <v>273.77300000000002</v>
      </c>
      <c r="M16" s="553"/>
    </row>
    <row r="17" spans="1:25">
      <c r="A17" s="554" t="s">
        <v>524</v>
      </c>
      <c r="B17" s="555">
        <v>185.184</v>
      </c>
      <c r="C17" s="555">
        <v>191.59800000000001</v>
      </c>
      <c r="D17" s="555">
        <v>199.559</v>
      </c>
      <c r="E17" s="555">
        <v>205.53399999999999</v>
      </c>
      <c r="F17" s="555">
        <v>212.13200000000001</v>
      </c>
      <c r="G17" s="555">
        <v>218.489</v>
      </c>
      <c r="H17" s="555">
        <v>225.392</v>
      </c>
      <c r="I17" s="556">
        <v>236.55</v>
      </c>
      <c r="J17" s="555">
        <v>245.291</v>
      </c>
      <c r="K17" s="555">
        <v>257.14800000000002</v>
      </c>
      <c r="L17" s="555">
        <v>273.67599999999999</v>
      </c>
      <c r="M17" s="555"/>
    </row>
    <row r="19" spans="1:25">
      <c r="A19" s="495" t="s">
        <v>525</v>
      </c>
      <c r="B19" s="558">
        <v>43831</v>
      </c>
      <c r="C19" s="558">
        <v>43862</v>
      </c>
      <c r="D19" s="558">
        <v>43891</v>
      </c>
      <c r="E19" s="558">
        <v>43922</v>
      </c>
      <c r="F19" s="558">
        <v>43952</v>
      </c>
      <c r="H19" s="559">
        <v>44896</v>
      </c>
      <c r="I19" s="179">
        <f>L17</f>
        <v>273.67599999999999</v>
      </c>
      <c r="J19" s="656" t="s">
        <v>526</v>
      </c>
      <c r="K19" s="656">
        <f>I20/I19</f>
        <v>1.0503661263684063</v>
      </c>
      <c r="R19" s="560"/>
      <c r="S19" s="561"/>
      <c r="T19" s="561"/>
      <c r="U19" s="561"/>
      <c r="V19" s="561"/>
    </row>
    <row r="20" spans="1:25">
      <c r="A20" s="83" t="s">
        <v>527</v>
      </c>
      <c r="B20" s="562">
        <v>21020.83</v>
      </c>
      <c r="C20" s="562">
        <f>ROUNDUP((B20*C21),2)</f>
        <v>21073.94</v>
      </c>
      <c r="D20" s="562">
        <f>ROUNDUP((C20*D21),2)</f>
        <v>21067.179999999997</v>
      </c>
      <c r="E20" s="562">
        <f t="shared" ref="E20" si="0">ROUNDUP((D20*E21),2)</f>
        <v>21018.12</v>
      </c>
      <c r="F20" s="562">
        <f>ROUNDUP((E20*F21),2)</f>
        <v>21048.019999999997</v>
      </c>
      <c r="H20" s="559">
        <v>45108</v>
      </c>
      <c r="I20" s="179">
        <f>M12</f>
        <v>287.45999999999998</v>
      </c>
      <c r="J20" s="656"/>
      <c r="K20" s="656"/>
      <c r="W20" s="563"/>
      <c r="X20" s="563"/>
      <c r="Y20" s="563"/>
    </row>
    <row r="21" spans="1:25">
      <c r="A21" s="83" t="s">
        <v>528</v>
      </c>
      <c r="C21" s="564">
        <f>J7/J6</f>
        <v>1.0025262876119889</v>
      </c>
      <c r="D21" s="179">
        <f>J8/J7</f>
        <v>0.99967875172097298</v>
      </c>
      <c r="E21" s="179">
        <f>J9/J8</f>
        <v>0.99767124488237291</v>
      </c>
      <c r="F21" s="179">
        <f>J10/J9</f>
        <v>1.0014222668423585</v>
      </c>
      <c r="H21" s="657" t="s">
        <v>210</v>
      </c>
      <c r="I21" s="657"/>
      <c r="J21" s="657"/>
      <c r="K21" s="657"/>
    </row>
    <row r="22" spans="1:25">
      <c r="H22" s="559">
        <v>45017</v>
      </c>
      <c r="I22" s="179">
        <f>M9</f>
        <v>277.97199999999998</v>
      </c>
      <c r="J22" s="656" t="s">
        <v>526</v>
      </c>
      <c r="K22" s="656">
        <f>I23/I22</f>
        <v>1.0341329342523709</v>
      </c>
    </row>
    <row r="23" spans="1:25">
      <c r="H23" s="559">
        <v>45108</v>
      </c>
      <c r="I23" s="179">
        <f>M12</f>
        <v>287.45999999999998</v>
      </c>
      <c r="J23" s="656"/>
      <c r="K23" s="656"/>
    </row>
    <row r="24" spans="1:25">
      <c r="H24" s="657" t="s">
        <v>182</v>
      </c>
      <c r="I24" s="657"/>
      <c r="J24" s="657"/>
      <c r="K24" s="657"/>
    </row>
  </sheetData>
  <mergeCells count="9">
    <mergeCell ref="J22:J23"/>
    <mergeCell ref="K22:K23"/>
    <mergeCell ref="H24:K24"/>
    <mergeCell ref="A1:I1"/>
    <mergeCell ref="A2:I2"/>
    <mergeCell ref="A3:I3"/>
    <mergeCell ref="J19:J20"/>
    <mergeCell ref="K19:K20"/>
    <mergeCell ref="H21:K21"/>
  </mergeCells>
  <pageMargins left="0.511811024" right="0.511811024" top="0.78740157499999996" bottom="0.78740157499999996" header="0.31496062000000002" footer="0.31496062000000002"/>
  <pageSetup paperSize="9"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88A5-B804-424E-BAA5-24D937B6C07E}">
  <sheetPr>
    <tabColor theme="8" tint="-0.249977111117893"/>
    <pageSetUpPr fitToPage="1"/>
  </sheetPr>
  <dimension ref="A1:G26"/>
  <sheetViews>
    <sheetView showGridLines="0" view="pageBreakPreview" topLeftCell="A8" zoomScaleSheetLayoutView="100" workbookViewId="0">
      <selection activeCell="G24" sqref="G24"/>
    </sheetView>
  </sheetViews>
  <sheetFormatPr defaultColWidth="9.140625" defaultRowHeight="15.75"/>
  <cols>
    <col min="1" max="1" width="13.7109375" style="83" customWidth="1"/>
    <col min="2" max="2" width="58.5703125" style="83" bestFit="1" customWidth="1"/>
    <col min="3" max="3" width="10.42578125" style="90" bestFit="1" customWidth="1"/>
    <col min="4" max="4" width="8.7109375" style="91" bestFit="1" customWidth="1"/>
    <col min="5" max="5" width="12.28515625" style="83" customWidth="1"/>
    <col min="6" max="6" width="9.140625" style="83"/>
    <col min="7" max="7" width="13.5703125" style="83" customWidth="1"/>
    <col min="8" max="16384" width="9.140625" style="83"/>
  </cols>
  <sheetData>
    <row r="1" spans="1:7" ht="20.100000000000001" customHeight="1">
      <c r="A1" s="662" t="s">
        <v>0</v>
      </c>
      <c r="B1" s="662"/>
      <c r="C1" s="662"/>
      <c r="D1" s="662"/>
      <c r="E1" s="662"/>
      <c r="F1" s="662"/>
      <c r="G1" s="662"/>
    </row>
    <row r="2" spans="1:7" ht="20.100000000000001" customHeight="1">
      <c r="A2" s="662"/>
      <c r="B2" s="662"/>
      <c r="C2" s="662"/>
      <c r="D2" s="662"/>
      <c r="E2" s="662"/>
      <c r="F2" s="662"/>
      <c r="G2" s="662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9" t="s">
        <v>236</v>
      </c>
      <c r="B4" s="79"/>
      <c r="C4" s="53"/>
      <c r="D4" s="80"/>
      <c r="E4" s="80"/>
      <c r="F4" s="81" t="s">
        <v>134</v>
      </c>
      <c r="G4" s="63">
        <f>Município!H4</f>
        <v>45166</v>
      </c>
    </row>
    <row r="5" spans="1:7" ht="20.100000000000001" customHeight="1">
      <c r="A5" s="79" t="s">
        <v>135</v>
      </c>
      <c r="B5" s="82" t="str">
        <f>Município!B5</f>
        <v>CBH DOCE</v>
      </c>
      <c r="C5" s="53"/>
      <c r="D5" s="80"/>
      <c r="E5" s="80"/>
    </row>
    <row r="6" spans="1:7" ht="20.100000000000001" customHeight="1">
      <c r="A6" s="79" t="s">
        <v>136</v>
      </c>
      <c r="B6" s="82" t="str">
        <f>Município!B6</f>
        <v>São Sebastião do Rio Preto/MG</v>
      </c>
      <c r="C6" s="53"/>
      <c r="D6" s="80"/>
    </row>
    <row r="7" spans="1:7" ht="15" customHeight="1">
      <c r="A7" s="79"/>
      <c r="B7" s="79"/>
      <c r="C7" s="53"/>
      <c r="D7" s="80"/>
      <c r="E7" s="80"/>
    </row>
    <row r="8" spans="1:7" ht="15" customHeight="1">
      <c r="A8" s="663" t="s">
        <v>237</v>
      </c>
      <c r="B8" s="663"/>
      <c r="C8" s="663"/>
      <c r="D8" s="663"/>
      <c r="E8" s="663"/>
      <c r="F8" s="663"/>
      <c r="G8" s="663"/>
    </row>
    <row r="9" spans="1:7" ht="15" customHeight="1">
      <c r="A9" s="663"/>
      <c r="B9" s="663"/>
      <c r="C9" s="663"/>
      <c r="D9" s="663"/>
      <c r="E9" s="663"/>
      <c r="F9" s="663"/>
      <c r="G9" s="663"/>
    </row>
    <row r="10" spans="1:7" ht="15" customHeight="1">
      <c r="A10" s="79"/>
      <c r="B10" s="79"/>
      <c r="C10" s="53"/>
      <c r="D10" s="80"/>
      <c r="E10" s="80"/>
    </row>
    <row r="11" spans="1:7" ht="20.100000000000001" customHeight="1">
      <c r="A11" s="661" t="s">
        <v>238</v>
      </c>
      <c r="B11" s="661"/>
      <c r="C11" s="661"/>
      <c r="D11" s="475"/>
      <c r="E11" s="476"/>
      <c r="F11" s="476"/>
      <c r="G11" s="476"/>
    </row>
    <row r="12" spans="1:7" ht="20.100000000000001" customHeight="1">
      <c r="A12" s="210" t="s">
        <v>239</v>
      </c>
      <c r="B12" s="210"/>
      <c r="C12" s="210"/>
      <c r="D12" s="211"/>
      <c r="E12" s="212"/>
      <c r="F12" s="213"/>
      <c r="G12" s="214">
        <v>0.81789999999999996</v>
      </c>
    </row>
    <row r="13" spans="1:7" ht="20.100000000000001" customHeight="1">
      <c r="A13" s="210" t="s">
        <v>240</v>
      </c>
      <c r="B13" s="210"/>
      <c r="C13" s="210"/>
      <c r="D13" s="211"/>
      <c r="E13" s="212"/>
      <c r="F13" s="213"/>
      <c r="G13" s="214">
        <v>0.2</v>
      </c>
    </row>
    <row r="14" spans="1:7" ht="20.100000000000001" customHeight="1">
      <c r="A14" s="215" t="s">
        <v>241</v>
      </c>
      <c r="B14" s="215"/>
      <c r="C14" s="215"/>
      <c r="D14" s="211"/>
      <c r="E14" s="215"/>
      <c r="F14" s="213"/>
      <c r="G14" s="214">
        <v>0.1729</v>
      </c>
    </row>
    <row r="15" spans="1:7" ht="20.100000000000001" customHeight="1">
      <c r="A15" s="215" t="s">
        <v>242</v>
      </c>
      <c r="B15" s="215"/>
      <c r="C15" s="215"/>
      <c r="D15" s="211"/>
      <c r="E15" s="215"/>
      <c r="F15" s="213"/>
      <c r="G15" s="214">
        <v>8.7599999999999997E-2</v>
      </c>
    </row>
    <row r="16" spans="1:7" ht="20.100000000000001" customHeight="1">
      <c r="A16" s="215" t="s">
        <v>243</v>
      </c>
      <c r="B16" s="215"/>
      <c r="C16" s="215"/>
      <c r="D16" s="211"/>
      <c r="E16" s="215"/>
      <c r="F16" s="213"/>
      <c r="G16" s="214">
        <f>(1/(1-(E18+E19+E20))-1)</f>
        <v>0.14155251141552516</v>
      </c>
    </row>
    <row r="17" spans="1:7" ht="20.100000000000001" customHeight="1">
      <c r="A17" s="216" t="s">
        <v>244</v>
      </c>
      <c r="B17" s="216"/>
      <c r="C17" s="216"/>
      <c r="D17" s="211"/>
      <c r="E17" s="210"/>
      <c r="F17" s="213"/>
      <c r="G17" s="214"/>
    </row>
    <row r="18" spans="1:7" ht="20.100000000000001" customHeight="1">
      <c r="A18" s="210" t="s">
        <v>245</v>
      </c>
      <c r="B18" s="210"/>
      <c r="C18" s="215"/>
      <c r="D18" s="211"/>
      <c r="E18" s="217">
        <f>1.65%*(1-20%)</f>
        <v>1.3200000000000002E-2</v>
      </c>
      <c r="F18" s="213"/>
      <c r="G18" s="218"/>
    </row>
    <row r="19" spans="1:7" ht="20.100000000000001" customHeight="1">
      <c r="A19" s="210" t="s">
        <v>246</v>
      </c>
      <c r="B19" s="210"/>
      <c r="C19" s="215"/>
      <c r="D19" s="211"/>
      <c r="E19" s="217">
        <f>7.6%*(1-20%)</f>
        <v>6.08E-2</v>
      </c>
      <c r="F19" s="213"/>
      <c r="G19" s="218"/>
    </row>
    <row r="20" spans="1:7" ht="20.100000000000001" customHeight="1">
      <c r="A20" s="210" t="s">
        <v>247</v>
      </c>
      <c r="B20" s="210"/>
      <c r="C20" s="215"/>
      <c r="D20" s="211"/>
      <c r="E20" s="217">
        <v>0.05</v>
      </c>
      <c r="F20" s="213"/>
      <c r="G20" s="218"/>
    </row>
    <row r="21" spans="1:7" ht="3" customHeight="1">
      <c r="A21" s="129"/>
      <c r="B21" s="130"/>
      <c r="C21" s="131"/>
      <c r="D21" s="132"/>
      <c r="E21" s="133"/>
      <c r="F21" s="134"/>
      <c r="G21" s="135"/>
    </row>
    <row r="22" spans="1:7" ht="20.100000000000001" customHeight="1">
      <c r="A22" s="136" t="s">
        <v>248</v>
      </c>
      <c r="B22" s="137" t="s">
        <v>249</v>
      </c>
      <c r="C22" s="138" t="s">
        <v>250</v>
      </c>
      <c r="D22" s="139"/>
      <c r="E22" s="140"/>
      <c r="F22" s="141"/>
      <c r="G22" s="142">
        <f>(1+G12+G14)*(1+G15)*(1+G16)</f>
        <v>2.471682739726027</v>
      </c>
    </row>
    <row r="23" spans="1:7" ht="20.100000000000001" customHeight="1">
      <c r="A23" s="136" t="s">
        <v>251</v>
      </c>
      <c r="B23" s="137" t="s">
        <v>252</v>
      </c>
      <c r="C23" s="138" t="s">
        <v>253</v>
      </c>
      <c r="D23" s="139"/>
      <c r="E23" s="140"/>
      <c r="F23" s="141"/>
      <c r="G23" s="142">
        <f>(1+G13+G14)*(1+G15)*(1+G16)</f>
        <v>1.7045274429223745</v>
      </c>
    </row>
    <row r="24" spans="1:7" ht="20.100000000000001" customHeight="1">
      <c r="A24" s="136" t="s">
        <v>254</v>
      </c>
      <c r="B24" s="137" t="s">
        <v>255</v>
      </c>
      <c r="C24" s="138" t="s">
        <v>256</v>
      </c>
      <c r="D24" s="139"/>
      <c r="E24" s="140"/>
      <c r="F24" s="141"/>
      <c r="G24" s="142">
        <f>(1+G14)*(1+G15)*(1+G16)</f>
        <v>1.4562169406392695</v>
      </c>
    </row>
    <row r="25" spans="1:7" ht="20.100000000000001" customHeight="1">
      <c r="A25" s="136" t="s">
        <v>257</v>
      </c>
      <c r="B25" s="137" t="s">
        <v>258</v>
      </c>
      <c r="C25" s="138" t="s">
        <v>259</v>
      </c>
      <c r="D25" s="139"/>
      <c r="E25" s="140"/>
      <c r="F25" s="141"/>
      <c r="G25" s="142">
        <f>(1+G15)*(1+G16)</f>
        <v>1.241552511415525</v>
      </c>
    </row>
    <row r="26" spans="1:7" ht="38.25" customHeight="1">
      <c r="A26" s="664" t="s">
        <v>745</v>
      </c>
      <c r="B26" s="665"/>
      <c r="C26" s="665"/>
      <c r="D26" s="665"/>
      <c r="E26" s="665"/>
      <c r="F26" s="665"/>
      <c r="G26" s="665"/>
    </row>
  </sheetData>
  <mergeCells count="4">
    <mergeCell ref="A11:C11"/>
    <mergeCell ref="A1:G2"/>
    <mergeCell ref="A8:G9"/>
    <mergeCell ref="A26:G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CF16B2-DBD4-44BD-9060-D948EFC9E3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3A2A5-09C1-4E62-9452-6499361A5E62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customXml/itemProps3.xml><?xml version="1.0" encoding="utf-8"?>
<ds:datastoreItem xmlns:ds="http://schemas.openxmlformats.org/officeDocument/2006/customXml" ds:itemID="{9D79B618-6493-4869-BF08-3F11873931DC}"/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37</vt:i4>
      </vt:variant>
    </vt:vector>
  </HeadingPairs>
  <TitlesOfParts>
    <vt:vector size="66" baseType="lpstr">
      <vt:lpstr>Capa</vt:lpstr>
      <vt:lpstr>Orç_20-30</vt:lpstr>
      <vt:lpstr>Crono_20-30</vt:lpstr>
      <vt:lpstr>Definições</vt:lpstr>
      <vt:lpstr>Município</vt:lpstr>
      <vt:lpstr>Custos</vt:lpstr>
      <vt:lpstr>DNIT04.23</vt:lpstr>
      <vt:lpstr>Coluna 39 FGV</vt:lpstr>
      <vt:lpstr>K</vt:lpstr>
      <vt:lpstr>Dias trabalhados</vt:lpstr>
      <vt:lpstr>Deslocamento</vt:lpstr>
      <vt:lpstr>Equipe</vt:lpstr>
      <vt:lpstr>Topografia para Projeto</vt:lpstr>
      <vt:lpstr>Cadastro Técnico</vt:lpstr>
      <vt:lpstr>Despesas diretas</vt:lpstr>
      <vt:lpstr>Horas trabalhadas</vt:lpstr>
      <vt:lpstr>Serviços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'Cadastro Técnico'!Area_de_impressao</vt:lpstr>
      <vt:lpstr>Capa!Area_de_impressao</vt:lpstr>
      <vt:lpstr>'Coluna 39 FGV'!Area_de_impressao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Deslocamento!Area_de_impressao</vt:lpstr>
      <vt:lpstr>'Despesas diretas'!Area_de_impressao</vt:lpstr>
      <vt:lpstr>'Dias trabalhados'!Area_de_impressao</vt:lpstr>
      <vt:lpstr>'Horas trabalhadas'!Area_de_impressao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P7b!Area_de_impressao</vt:lpstr>
      <vt:lpstr>'P8'!Area_de_impressao</vt:lpstr>
      <vt:lpstr>'Produto Consolidado'!Area_de_impressao</vt:lpstr>
      <vt:lpstr>Serviços!Area_de_impressao</vt:lpstr>
      <vt:lpstr>'Topografia para Projeto'!Area_de_impressao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P7b!Titulos_de_impressao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2023-09-12T17:44:24Z</cp:lastPrinted>
  <dcterms:created xsi:type="dcterms:W3CDTF">2009-02-03T12:18:48Z</dcterms:created>
  <dcterms:modified xsi:type="dcterms:W3CDTF">2023-11-29T14:25:02Z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MediaServiceImageTags">
    <vt:lpwstr/>
  </property>
</Properties>
</file>