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mc:AlternateContent xmlns:mc="http://schemas.openxmlformats.org/markup-compatibility/2006">
    <mc:Choice Requires="x15">
      <x15ac:absPath xmlns:x15ac="http://schemas.microsoft.com/office/spreadsheetml/2010/11/ac" url="Z:\PAP Doce Federal\"/>
    </mc:Choice>
  </mc:AlternateContent>
  <xr:revisionPtr revIDLastSave="0" documentId="13_ncr:1_{E49229ED-B013-4FF7-9774-544E212265E7}" xr6:coauthVersionLast="46" xr6:coauthVersionMax="46" xr10:uidLastSave="{00000000-0000-0000-0000-000000000000}"/>
  <bookViews>
    <workbookView xWindow="-120" yWindow="-120" windowWidth="29040" windowHeight="15840" activeTab="2" xr2:uid="{00000000-000D-0000-FFFF-FFFF00000000}"/>
  </bookViews>
  <sheets>
    <sheet name="Anexo II" sheetId="14" r:id="rId1"/>
    <sheet name="PAP 2021 a 2025 consolidado" sheetId="50" r:id="rId2"/>
    <sheet name="PAP 2021 a 2025" sheetId="81" r:id="rId3"/>
    <sheet name="Objetivos do PIRH" sheetId="82" r:id="rId4"/>
    <sheet name="Programas do PIRH" sheetId="83" r:id="rId5"/>
    <sheet name="Detalhamento dos programas" sheetId="74" r:id="rId6"/>
    <sheet name="PAP 2021 a 2025 tabela" sheetId="84" r:id="rId7"/>
    <sheet name="POA 2021 Resumido" sheetId="80" r:id="rId8"/>
    <sheet name="PAP 2021 a 2025 completo" sheetId="48" r:id="rId9"/>
    <sheet name="Simulação Desembolso" sheetId="77" r:id="rId10"/>
    <sheet name="Ação 1.1.1 " sheetId="41" r:id="rId11"/>
    <sheet name="Ação 1.4.1 " sheetId="57" r:id="rId12"/>
    <sheet name="Ação 1.5.1" sheetId="37" r:id="rId13"/>
    <sheet name="Ação 1.8.2 " sheetId="60" r:id="rId14"/>
    <sheet name="Ação 1.8.4  1 " sheetId="59" r:id="rId15"/>
    <sheet name="Ação 1.8.4   2" sheetId="64" r:id="rId16"/>
    <sheet name="Ação 1.8.4   3" sheetId="63" r:id="rId17"/>
    <sheet name="Ação 1.8.4   5" sheetId="61" r:id="rId18"/>
    <sheet name="Ação 1.11.1   1" sheetId="65" r:id="rId19"/>
    <sheet name="Ação 1.11.4  1" sheetId="67" r:id="rId20"/>
    <sheet name="Ação 2.1.1  1" sheetId="69" r:id="rId21"/>
    <sheet name="Ação 2.1.2 1 " sheetId="71" r:id="rId22"/>
    <sheet name="Ação 2.1.2  5 " sheetId="72" r:id="rId23"/>
    <sheet name="Ação 3.1.1  3" sheetId="66" r:id="rId24"/>
    <sheet name="Ação 3.1.2 1" sheetId="58" r:id="rId25"/>
    <sheet name="Memória de cálculo" sheetId="73" r:id="rId26"/>
    <sheet name="Acompanhamento PIRH " sheetId="42" r:id="rId27"/>
    <sheet name="Sistema de Informação" sheetId="56" r:id="rId28"/>
    <sheet name="Cobrança" sheetId="40" r:id="rId29"/>
    <sheet name="Plano de Segurança Hídrica" sheetId="54" r:id="rId30"/>
    <sheet name="Gerenciadora obras hidráulicas" sheetId="62" r:id="rId31"/>
    <sheet name="Escola de projetos" sheetId="35" r:id="rId32"/>
    <sheet name="Plano de Comunicação" sheetId="46" r:id="rId33"/>
    <sheet name="Curso de capacitação" sheetId="68" r:id="rId34"/>
    <sheet name="PMSB TCU" sheetId="70" r:id="rId35"/>
    <sheet name="Projeto SES" sheetId="45" r:id="rId36"/>
    <sheet name="Gererenciadora agenda marrom" sheetId="53" r:id="rId37"/>
    <sheet name="Rio Vivo" sheetId="78" r:id="rId38"/>
    <sheet name="Gerenciadora agenda verde" sheetId="52" r:id="rId39"/>
    <sheet name="Apoio Secretaria Executiva" sheetId="47" r:id="rId40"/>
    <sheet name="Gerenciadora de TI" sheetId="55" r:id="rId41"/>
    <sheet name="Encargos sociais e benefícios" sheetId="17" r:id="rId42"/>
    <sheet name="Dias trabalhados" sheetId="18" r:id="rId43"/>
    <sheet name="Modelo orçamento " sheetId="38" r:id="rId44"/>
  </sheets>
  <definedNames>
    <definedName name="_xlnm.Print_Area" localSheetId="5">'Detalhamento dos programas'!$A$1:$D$45</definedName>
    <definedName name="_xlnm.Print_Area" localSheetId="42">'Dias trabalhados'!$A$1:$D$45</definedName>
    <definedName name="_xlnm.Print_Area" localSheetId="3">'Objetivos do PIRH'!$A$1:$I$34</definedName>
    <definedName name="_xlnm.Print_Area" localSheetId="2">'PAP 2021 a 2025'!$A$1:$J$206</definedName>
    <definedName name="_xlnm.Print_Area" localSheetId="6">'PAP 2021 a 2025 tabela'!$A$1:$J$207</definedName>
    <definedName name="_xlnm.Print_Area" localSheetId="4">'Programas do PIRH'!$A$1:$E$44</definedName>
    <definedName name="_xlnm.Print_Area" localSheetId="9">'Simulação Desembolso'!$A$1:$R$24</definedName>
    <definedName name="_xlnm.Print_Titles" localSheetId="5">'Detalhamento dos programas'!$1:$2</definedName>
    <definedName name="_xlnm.Print_Titles" localSheetId="41">'Encargos sociais e benefícios'!$1:$1</definedName>
    <definedName name="_xlnm.Print_Titles" localSheetId="2">'PAP 2021 a 2025'!$1:$2</definedName>
    <definedName name="_xlnm.Print_Titles" localSheetId="8">'PAP 2021 a 2025 completo'!$1:$14</definedName>
    <definedName name="_xlnm.Print_Titles" localSheetId="6">'PAP 2021 a 2025 tabela'!$1:$2</definedName>
    <definedName name="_xlnm.Print_Titles" localSheetId="7">'POA 2021 Resumido'!$1:$14</definedName>
    <definedName name="_xlnm.Print_Titles" localSheetId="4">'Programas do PIRH'!$1:$2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06" i="84" l="1"/>
  <c r="I206" i="84"/>
  <c r="H206" i="84"/>
  <c r="H205" i="84" s="1"/>
  <c r="G206" i="84"/>
  <c r="G205" i="84" s="1"/>
  <c r="J205" i="84"/>
  <c r="I205" i="84"/>
  <c r="J204" i="84"/>
  <c r="J203" i="84" s="1"/>
  <c r="I204" i="84"/>
  <c r="I203" i="84" s="1"/>
  <c r="H204" i="84"/>
  <c r="H203" i="84" s="1"/>
  <c r="G204" i="84"/>
  <c r="G203" i="84" s="1"/>
  <c r="J202" i="84"/>
  <c r="I202" i="84"/>
  <c r="I201" i="84" s="1"/>
  <c r="H202" i="84"/>
  <c r="H201" i="84" s="1"/>
  <c r="G202" i="84"/>
  <c r="J201" i="84"/>
  <c r="G201" i="84"/>
  <c r="J200" i="84"/>
  <c r="J199" i="84" s="1"/>
  <c r="I200" i="84"/>
  <c r="I199" i="84" s="1"/>
  <c r="H200" i="84"/>
  <c r="H199" i="84" s="1"/>
  <c r="G200" i="84"/>
  <c r="G199" i="84" s="1"/>
  <c r="J198" i="84"/>
  <c r="J197" i="84" s="1"/>
  <c r="I198" i="84"/>
  <c r="I197" i="84" s="1"/>
  <c r="H198" i="84"/>
  <c r="H197" i="84" s="1"/>
  <c r="G198" i="84"/>
  <c r="G197" i="84" s="1"/>
  <c r="F195" i="84"/>
  <c r="F206" i="84" s="1"/>
  <c r="J191" i="84"/>
  <c r="I191" i="84"/>
  <c r="H191" i="84"/>
  <c r="H13" i="84" s="1"/>
  <c r="G191" i="84"/>
  <c r="E189" i="84"/>
  <c r="E188" i="84"/>
  <c r="E187" i="84"/>
  <c r="J186" i="84"/>
  <c r="I186" i="84"/>
  <c r="H186" i="84"/>
  <c r="G186" i="84"/>
  <c r="F186" i="84"/>
  <c r="E185" i="84"/>
  <c r="E184" i="84" s="1"/>
  <c r="J184" i="84"/>
  <c r="I184" i="84"/>
  <c r="H184" i="84"/>
  <c r="G184" i="84"/>
  <c r="F184" i="84"/>
  <c r="J183" i="84"/>
  <c r="I183" i="84"/>
  <c r="H183" i="84"/>
  <c r="G183" i="84"/>
  <c r="F183" i="84"/>
  <c r="E182" i="84"/>
  <c r="E181" i="84"/>
  <c r="E180" i="84"/>
  <c r="E179" i="84" s="1"/>
  <c r="J179" i="84"/>
  <c r="I179" i="84"/>
  <c r="I177" i="84" s="1"/>
  <c r="I176" i="84" s="1"/>
  <c r="I12" i="84" s="1"/>
  <c r="H179" i="84"/>
  <c r="G179" i="84"/>
  <c r="F179" i="84"/>
  <c r="E170" i="84"/>
  <c r="E168" i="84"/>
  <c r="J167" i="84"/>
  <c r="G167" i="84"/>
  <c r="F167" i="84"/>
  <c r="E165" i="84"/>
  <c r="E164" i="84" s="1"/>
  <c r="J164" i="84"/>
  <c r="J160" i="84" s="1"/>
  <c r="I164" i="84"/>
  <c r="H164" i="84"/>
  <c r="G164" i="84"/>
  <c r="F164" i="84"/>
  <c r="E159" i="84"/>
  <c r="E158" i="84" s="1"/>
  <c r="J158" i="84"/>
  <c r="I158" i="84"/>
  <c r="H158" i="84"/>
  <c r="G158" i="84"/>
  <c r="F158" i="84"/>
  <c r="E157" i="84"/>
  <c r="E156" i="84" s="1"/>
  <c r="J156" i="84"/>
  <c r="I156" i="84"/>
  <c r="H156" i="84"/>
  <c r="G156" i="84"/>
  <c r="F156" i="84"/>
  <c r="E155" i="84"/>
  <c r="E154" i="84" s="1"/>
  <c r="J154" i="84"/>
  <c r="I154" i="84"/>
  <c r="H154" i="84"/>
  <c r="G154" i="84"/>
  <c r="F154" i="84"/>
  <c r="E153" i="84"/>
  <c r="E152" i="84"/>
  <c r="J151" i="84"/>
  <c r="I151" i="84"/>
  <c r="H151" i="84"/>
  <c r="G151" i="84"/>
  <c r="F151" i="84"/>
  <c r="J138" i="84"/>
  <c r="I138" i="84"/>
  <c r="H138" i="84"/>
  <c r="G138" i="84"/>
  <c r="E137" i="84"/>
  <c r="J136" i="84"/>
  <c r="I136" i="84"/>
  <c r="I169" i="84" s="1"/>
  <c r="I167" i="84" s="1"/>
  <c r="H136" i="84"/>
  <c r="H169" i="84" s="1"/>
  <c r="G136" i="84"/>
  <c r="F136" i="84"/>
  <c r="E135" i="84"/>
  <c r="E133" i="84"/>
  <c r="E132" i="84"/>
  <c r="E130" i="84"/>
  <c r="E129" i="84" s="1"/>
  <c r="J129" i="84"/>
  <c r="I129" i="84"/>
  <c r="H129" i="84"/>
  <c r="G129" i="84"/>
  <c r="F129" i="84"/>
  <c r="E124" i="84"/>
  <c r="E123" i="84" s="1"/>
  <c r="J123" i="84"/>
  <c r="I123" i="84"/>
  <c r="H123" i="84"/>
  <c r="G123" i="84"/>
  <c r="F123" i="84"/>
  <c r="J121" i="84"/>
  <c r="I121" i="84"/>
  <c r="H121" i="84"/>
  <c r="G121" i="84"/>
  <c r="F121" i="84"/>
  <c r="E121" i="84"/>
  <c r="J119" i="84"/>
  <c r="I119" i="84"/>
  <c r="H119" i="84"/>
  <c r="G119" i="84"/>
  <c r="F119" i="84"/>
  <c r="E119" i="84"/>
  <c r="E118" i="84"/>
  <c r="E117" i="84" s="1"/>
  <c r="J117" i="84"/>
  <c r="I117" i="84"/>
  <c r="H117" i="84"/>
  <c r="G117" i="84"/>
  <c r="F117" i="84"/>
  <c r="F115" i="84"/>
  <c r="J97" i="84"/>
  <c r="I97" i="84"/>
  <c r="H97" i="84"/>
  <c r="G97" i="84"/>
  <c r="F97" i="84"/>
  <c r="E97" i="84"/>
  <c r="F94" i="84"/>
  <c r="E93" i="84"/>
  <c r="E92" i="84"/>
  <c r="J91" i="84"/>
  <c r="I91" i="84"/>
  <c r="G91" i="84"/>
  <c r="F91" i="84"/>
  <c r="J90" i="84"/>
  <c r="I90" i="84"/>
  <c r="I89" i="84" s="1"/>
  <c r="H90" i="84"/>
  <c r="G90" i="84"/>
  <c r="F86" i="84"/>
  <c r="F85" i="84" s="1"/>
  <c r="J85" i="84"/>
  <c r="I85" i="84"/>
  <c r="H85" i="84"/>
  <c r="G85" i="84"/>
  <c r="E84" i="84"/>
  <c r="E83" i="84" s="1"/>
  <c r="J83" i="84"/>
  <c r="I83" i="84"/>
  <c r="H83" i="84"/>
  <c r="G83" i="84"/>
  <c r="F83" i="84"/>
  <c r="E58" i="84"/>
  <c r="E57" i="84" s="1"/>
  <c r="J57" i="84"/>
  <c r="I57" i="84"/>
  <c r="H57" i="84"/>
  <c r="G57" i="84"/>
  <c r="F57" i="84"/>
  <c r="J53" i="84"/>
  <c r="I53" i="84"/>
  <c r="H53" i="84"/>
  <c r="G53" i="84"/>
  <c r="F53" i="84"/>
  <c r="E53" i="84"/>
  <c r="E52" i="84"/>
  <c r="E51" i="84" s="1"/>
  <c r="J51" i="84"/>
  <c r="I51" i="84"/>
  <c r="H51" i="84"/>
  <c r="G51" i="84"/>
  <c r="F51" i="84"/>
  <c r="E50" i="84"/>
  <c r="E49" i="84" s="1"/>
  <c r="J49" i="84"/>
  <c r="I49" i="84"/>
  <c r="H49" i="84"/>
  <c r="G49" i="84"/>
  <c r="F49" i="84"/>
  <c r="E21" i="84"/>
  <c r="E20" i="84" s="1"/>
  <c r="E18" i="84" s="1"/>
  <c r="D21" i="84"/>
  <c r="J20" i="84"/>
  <c r="J18" i="84" s="1"/>
  <c r="I20" i="84"/>
  <c r="I18" i="84" s="1"/>
  <c r="H20" i="84"/>
  <c r="H18" i="84" s="1"/>
  <c r="G20" i="84"/>
  <c r="G18" i="84" s="1"/>
  <c r="F20" i="84"/>
  <c r="F18" i="84" s="1"/>
  <c r="J13" i="84"/>
  <c r="I13" i="84"/>
  <c r="G13" i="84"/>
  <c r="B13" i="84"/>
  <c r="B12" i="84"/>
  <c r="B11" i="84"/>
  <c r="B10" i="84"/>
  <c r="E5" i="84"/>
  <c r="J115" i="84" l="1"/>
  <c r="J89" i="84"/>
  <c r="I131" i="84"/>
  <c r="H177" i="84"/>
  <c r="H176" i="84" s="1"/>
  <c r="H12" i="84" s="1"/>
  <c r="I47" i="84"/>
  <c r="I115" i="84"/>
  <c r="H47" i="84"/>
  <c r="E183" i="84"/>
  <c r="E177" i="84" s="1"/>
  <c r="E176" i="84" s="1"/>
  <c r="E12" i="84" s="1"/>
  <c r="G177" i="84"/>
  <c r="G176" i="84" s="1"/>
  <c r="G12" i="84" s="1"/>
  <c r="E186" i="84"/>
  <c r="F89" i="84"/>
  <c r="E151" i="84"/>
  <c r="E149" i="84" s="1"/>
  <c r="F47" i="84"/>
  <c r="J47" i="84"/>
  <c r="G149" i="84"/>
  <c r="I149" i="84"/>
  <c r="F149" i="84"/>
  <c r="J149" i="84"/>
  <c r="G47" i="84"/>
  <c r="E47" i="84"/>
  <c r="E136" i="84"/>
  <c r="J131" i="84"/>
  <c r="J127" i="84" s="1"/>
  <c r="J126" i="84" s="1"/>
  <c r="J11" i="84" s="1"/>
  <c r="G115" i="84"/>
  <c r="E115" i="84"/>
  <c r="G131" i="84"/>
  <c r="G127" i="84" s="1"/>
  <c r="F191" i="84"/>
  <c r="F13" i="84" s="1"/>
  <c r="E91" i="84"/>
  <c r="H149" i="84"/>
  <c r="I81" i="84"/>
  <c r="E90" i="84"/>
  <c r="F177" i="84"/>
  <c r="F176" i="84" s="1"/>
  <c r="F12" i="84" s="1"/>
  <c r="J177" i="84"/>
  <c r="J176" i="84" s="1"/>
  <c r="J12" i="84" s="1"/>
  <c r="F160" i="84"/>
  <c r="G160" i="84"/>
  <c r="G126" i="84" s="1"/>
  <c r="G11" i="84" s="1"/>
  <c r="I160" i="84"/>
  <c r="H115" i="84"/>
  <c r="J81" i="84"/>
  <c r="E138" i="84"/>
  <c r="I127" i="84"/>
  <c r="F81" i="84"/>
  <c r="F17" i="84" s="1"/>
  <c r="F10" i="84" s="1"/>
  <c r="E206" i="84"/>
  <c r="E205" i="84" s="1"/>
  <c r="F205" i="84"/>
  <c r="E169" i="84"/>
  <c r="E167" i="84" s="1"/>
  <c r="E160" i="84" s="1"/>
  <c r="H167" i="84"/>
  <c r="H160" i="84" s="1"/>
  <c r="E86" i="84"/>
  <c r="E85" i="84" s="1"/>
  <c r="H131" i="84"/>
  <c r="H127" i="84" s="1"/>
  <c r="F131" i="84"/>
  <c r="F127" i="84" s="1"/>
  <c r="F198" i="84"/>
  <c r="F200" i="84"/>
  <c r="F202" i="84"/>
  <c r="F204" i="84"/>
  <c r="J183" i="81"/>
  <c r="I183" i="81"/>
  <c r="H183" i="81"/>
  <c r="G183" i="81"/>
  <c r="F183" i="81"/>
  <c r="I126" i="84" l="1"/>
  <c r="I11" i="84" s="1"/>
  <c r="J17" i="84"/>
  <c r="J10" i="84" s="1"/>
  <c r="I17" i="84"/>
  <c r="I10" i="84" s="1"/>
  <c r="F126" i="84"/>
  <c r="F11" i="84" s="1"/>
  <c r="F15" i="84" s="1"/>
  <c r="E131" i="84"/>
  <c r="E127" i="84" s="1"/>
  <c r="E126" i="84" s="1"/>
  <c r="E11" i="84" s="1"/>
  <c r="I15" i="84"/>
  <c r="J15" i="84"/>
  <c r="E202" i="84"/>
  <c r="E201" i="84" s="1"/>
  <c r="F201" i="84"/>
  <c r="H126" i="84"/>
  <c r="H11" i="84" s="1"/>
  <c r="E200" i="84"/>
  <c r="E199" i="84" s="1"/>
  <c r="F199" i="84"/>
  <c r="E198" i="84"/>
  <c r="E197" i="84" s="1"/>
  <c r="F197" i="84"/>
  <c r="E204" i="84"/>
  <c r="E203" i="84" s="1"/>
  <c r="F203" i="84"/>
  <c r="E80" i="80"/>
  <c r="F83" i="81"/>
  <c r="G83" i="81"/>
  <c r="H83" i="81"/>
  <c r="I83" i="81"/>
  <c r="J83" i="81"/>
  <c r="E84" i="81"/>
  <c r="E83" i="81" s="1"/>
  <c r="F81" i="48"/>
  <c r="G81" i="48"/>
  <c r="H81" i="48"/>
  <c r="I81" i="48"/>
  <c r="J81" i="48"/>
  <c r="E82" i="48"/>
  <c r="E81" i="48" s="1"/>
  <c r="E195" i="84" l="1"/>
  <c r="E191" i="84" s="1"/>
  <c r="E13" i="84" s="1"/>
  <c r="D8" i="56"/>
  <c r="E8" i="56" s="1"/>
  <c r="D7" i="56" l="1"/>
  <c r="D11" i="56" s="1"/>
  <c r="E7" i="56"/>
  <c r="E11" i="56" s="1"/>
  <c r="F8" i="56"/>
  <c r="E185" i="80"/>
  <c r="E184" i="80"/>
  <c r="E183" i="80"/>
  <c r="E181" i="80"/>
  <c r="E179" i="80"/>
  <c r="E177" i="80"/>
  <c r="E167" i="80"/>
  <c r="E166" i="80"/>
  <c r="E165" i="80"/>
  <c r="E151" i="80"/>
  <c r="E133" i="80"/>
  <c r="E132" i="80"/>
  <c r="E130" i="80"/>
  <c r="E129" i="80"/>
  <c r="E127" i="80"/>
  <c r="E121" i="80"/>
  <c r="E115" i="80"/>
  <c r="E89" i="80"/>
  <c r="E87" i="80"/>
  <c r="E49" i="80"/>
  <c r="E57" i="80"/>
  <c r="E21" i="80"/>
  <c r="G8" i="56" l="1"/>
  <c r="F7" i="56"/>
  <c r="F11" i="56" s="1"/>
  <c r="G182" i="81"/>
  <c r="H182" i="81"/>
  <c r="I182" i="81"/>
  <c r="J182" i="81"/>
  <c r="F182" i="81"/>
  <c r="F194" i="81"/>
  <c r="F205" i="81" s="1"/>
  <c r="E202" i="80" s="1"/>
  <c r="J205" i="81"/>
  <c r="J204" i="81" s="1"/>
  <c r="I205" i="81"/>
  <c r="I204" i="81" s="1"/>
  <c r="H205" i="81"/>
  <c r="H204" i="81" s="1"/>
  <c r="G205" i="81"/>
  <c r="G204" i="81" s="1"/>
  <c r="J203" i="81"/>
  <c r="J202" i="81" s="1"/>
  <c r="I203" i="81"/>
  <c r="I202" i="81" s="1"/>
  <c r="H203" i="81"/>
  <c r="H202" i="81" s="1"/>
  <c r="G203" i="81"/>
  <c r="G202" i="81" s="1"/>
  <c r="J201" i="81"/>
  <c r="J200" i="81" s="1"/>
  <c r="I201" i="81"/>
  <c r="I200" i="81" s="1"/>
  <c r="H201" i="81"/>
  <c r="H200" i="81" s="1"/>
  <c r="G201" i="81"/>
  <c r="G200" i="81" s="1"/>
  <c r="J199" i="81"/>
  <c r="J198" i="81" s="1"/>
  <c r="I199" i="81"/>
  <c r="I198" i="81" s="1"/>
  <c r="H199" i="81"/>
  <c r="H198" i="81" s="1"/>
  <c r="G199" i="81"/>
  <c r="G198" i="81" s="1"/>
  <c r="J197" i="81"/>
  <c r="J196" i="81" s="1"/>
  <c r="I197" i="81"/>
  <c r="I196" i="81" s="1"/>
  <c r="H197" i="81"/>
  <c r="H196" i="81" s="1"/>
  <c r="G197" i="81"/>
  <c r="G196" i="81" s="1"/>
  <c r="J190" i="81"/>
  <c r="J13" i="81" s="1"/>
  <c r="I190" i="81"/>
  <c r="I13" i="81" s="1"/>
  <c r="H190" i="81"/>
  <c r="H13" i="81" s="1"/>
  <c r="G190" i="81"/>
  <c r="G13" i="81" s="1"/>
  <c r="E188" i="81"/>
  <c r="E187" i="81"/>
  <c r="E186" i="81"/>
  <c r="J185" i="81"/>
  <c r="I185" i="81"/>
  <c r="H185" i="81"/>
  <c r="G185" i="81"/>
  <c r="F185" i="81"/>
  <c r="E181" i="81"/>
  <c r="E180" i="81"/>
  <c r="E179" i="81"/>
  <c r="J178" i="81"/>
  <c r="I178" i="81"/>
  <c r="I176" i="81" s="1"/>
  <c r="I175" i="81" s="1"/>
  <c r="I12" i="81" s="1"/>
  <c r="H178" i="81"/>
  <c r="G178" i="81"/>
  <c r="F178" i="81"/>
  <c r="E169" i="81"/>
  <c r="E167" i="81"/>
  <c r="E165" i="81"/>
  <c r="E164" i="81" s="1"/>
  <c r="J164" i="81"/>
  <c r="I164" i="81"/>
  <c r="H164" i="81"/>
  <c r="G164" i="81"/>
  <c r="F164" i="81"/>
  <c r="E159" i="81"/>
  <c r="E158" i="81" s="1"/>
  <c r="J158" i="81"/>
  <c r="I158" i="81"/>
  <c r="H158" i="81"/>
  <c r="G158" i="81"/>
  <c r="F158" i="81"/>
  <c r="E157" i="81"/>
  <c r="E156" i="81" s="1"/>
  <c r="J156" i="81"/>
  <c r="I156" i="81"/>
  <c r="H156" i="81"/>
  <c r="G156" i="81"/>
  <c r="F156" i="81"/>
  <c r="E155" i="81"/>
  <c r="E154" i="81" s="1"/>
  <c r="J154" i="81"/>
  <c r="I154" i="81"/>
  <c r="H154" i="81"/>
  <c r="G154" i="81"/>
  <c r="F154" i="81"/>
  <c r="E153" i="81"/>
  <c r="E152" i="81"/>
  <c r="J151" i="81"/>
  <c r="I151" i="81"/>
  <c r="H151" i="81"/>
  <c r="G151" i="81"/>
  <c r="F151" i="81"/>
  <c r="J138" i="81"/>
  <c r="I138" i="81"/>
  <c r="H138" i="81"/>
  <c r="G138" i="81"/>
  <c r="H136" i="81"/>
  <c r="E135" i="81"/>
  <c r="E133" i="81"/>
  <c r="E132" i="81"/>
  <c r="F129" i="81"/>
  <c r="E130" i="81"/>
  <c r="E129" i="81" s="1"/>
  <c r="J129" i="81"/>
  <c r="I129" i="81"/>
  <c r="H129" i="81"/>
  <c r="G129" i="81"/>
  <c r="E124" i="81"/>
  <c r="E123" i="81" s="1"/>
  <c r="J123" i="81"/>
  <c r="I123" i="81"/>
  <c r="H123" i="81"/>
  <c r="F123" i="81"/>
  <c r="J121" i="81"/>
  <c r="I121" i="81"/>
  <c r="H121" i="81"/>
  <c r="G121" i="81"/>
  <c r="F121" i="81"/>
  <c r="E121" i="81"/>
  <c r="J119" i="81"/>
  <c r="I119" i="81"/>
  <c r="H119" i="81"/>
  <c r="G119" i="81"/>
  <c r="F119" i="81"/>
  <c r="E119" i="81"/>
  <c r="E118" i="81"/>
  <c r="E117" i="81" s="1"/>
  <c r="J117" i="81"/>
  <c r="I117" i="81"/>
  <c r="H117" i="81"/>
  <c r="F117" i="81"/>
  <c r="J97" i="81"/>
  <c r="I97" i="81"/>
  <c r="H97" i="81"/>
  <c r="G97" i="81"/>
  <c r="F97" i="81"/>
  <c r="E97" i="81"/>
  <c r="F94" i="81"/>
  <c r="E93" i="81"/>
  <c r="J136" i="81"/>
  <c r="I136" i="81"/>
  <c r="G136" i="81"/>
  <c r="E92" i="81"/>
  <c r="J91" i="81"/>
  <c r="I91" i="81"/>
  <c r="G91" i="81"/>
  <c r="F91" i="81"/>
  <c r="J90" i="81"/>
  <c r="J89" i="81" s="1"/>
  <c r="I90" i="81"/>
  <c r="H90" i="81"/>
  <c r="G90" i="81"/>
  <c r="J85" i="81"/>
  <c r="F86" i="81"/>
  <c r="I85" i="81"/>
  <c r="H85" i="81"/>
  <c r="G85" i="81"/>
  <c r="E58" i="81"/>
  <c r="E57" i="81" s="1"/>
  <c r="J57" i="81"/>
  <c r="I57" i="81"/>
  <c r="H57" i="81"/>
  <c r="G57" i="81"/>
  <c r="F57" i="81"/>
  <c r="J53" i="81"/>
  <c r="I53" i="81"/>
  <c r="H53" i="81"/>
  <c r="G53" i="81"/>
  <c r="F53" i="81"/>
  <c r="E53" i="81"/>
  <c r="E52" i="81"/>
  <c r="E51" i="81" s="1"/>
  <c r="J51" i="81"/>
  <c r="I51" i="81"/>
  <c r="H51" i="81"/>
  <c r="G51" i="81"/>
  <c r="F51" i="81"/>
  <c r="J49" i="81"/>
  <c r="E50" i="81"/>
  <c r="E49" i="81" s="1"/>
  <c r="I49" i="81"/>
  <c r="H49" i="81"/>
  <c r="G49" i="81"/>
  <c r="E21" i="81"/>
  <c r="E20" i="81" s="1"/>
  <c r="E18" i="81" s="1"/>
  <c r="E17" i="50" s="1"/>
  <c r="D21" i="81"/>
  <c r="J20" i="81"/>
  <c r="I20" i="81"/>
  <c r="I18" i="81" s="1"/>
  <c r="H20" i="81"/>
  <c r="H18" i="81" s="1"/>
  <c r="G20" i="81"/>
  <c r="G18" i="81" s="1"/>
  <c r="F20" i="81"/>
  <c r="F18" i="81" s="1"/>
  <c r="J18" i="81"/>
  <c r="B13" i="81"/>
  <c r="B12" i="81"/>
  <c r="B11" i="81"/>
  <c r="B10" i="81"/>
  <c r="E5" i="81"/>
  <c r="E4" i="50" s="1"/>
  <c r="C50" i="59"/>
  <c r="D50" i="59"/>
  <c r="E50" i="59"/>
  <c r="G50" i="59"/>
  <c r="H50" i="59"/>
  <c r="I50" i="59"/>
  <c r="J50" i="59"/>
  <c r="K50" i="59"/>
  <c r="L50" i="59"/>
  <c r="M50" i="59"/>
  <c r="E185" i="81" l="1"/>
  <c r="H8" i="56"/>
  <c r="H7" i="56" s="1"/>
  <c r="H11" i="56" s="1"/>
  <c r="G7" i="56"/>
  <c r="G11" i="56" s="1"/>
  <c r="C11" i="56" s="1"/>
  <c r="J176" i="81"/>
  <c r="J175" i="81" s="1"/>
  <c r="J12" i="81" s="1"/>
  <c r="E182" i="81"/>
  <c r="F176" i="81"/>
  <c r="F175" i="81" s="1"/>
  <c r="F12" i="81" s="1"/>
  <c r="H47" i="81"/>
  <c r="E151" i="81"/>
  <c r="E149" i="81" s="1"/>
  <c r="E31" i="50" s="1"/>
  <c r="E90" i="81"/>
  <c r="H131" i="81"/>
  <c r="I89" i="81"/>
  <c r="I81" i="81" s="1"/>
  <c r="G176" i="81"/>
  <c r="G175" i="81" s="1"/>
  <c r="G12" i="81" s="1"/>
  <c r="E138" i="81"/>
  <c r="H127" i="81"/>
  <c r="E184" i="81"/>
  <c r="E183" i="81" s="1"/>
  <c r="E91" i="81"/>
  <c r="G149" i="81"/>
  <c r="H149" i="81"/>
  <c r="I149" i="81"/>
  <c r="J149" i="81"/>
  <c r="J115" i="81"/>
  <c r="H115" i="81"/>
  <c r="E47" i="81"/>
  <c r="E20" i="50" s="1"/>
  <c r="G47" i="81"/>
  <c r="J47" i="81"/>
  <c r="E86" i="81"/>
  <c r="E85" i="81" s="1"/>
  <c r="I47" i="81"/>
  <c r="F149" i="81"/>
  <c r="I115" i="81"/>
  <c r="F115" i="81"/>
  <c r="G166" i="81"/>
  <c r="G160" i="81" s="1"/>
  <c r="G131" i="81"/>
  <c r="G127" i="81" s="1"/>
  <c r="E115" i="81"/>
  <c r="E27" i="50" s="1"/>
  <c r="E137" i="81"/>
  <c r="E178" i="81"/>
  <c r="E176" i="81" s="1"/>
  <c r="E175" i="81" s="1"/>
  <c r="E205" i="81"/>
  <c r="E204" i="81" s="1"/>
  <c r="F204" i="81"/>
  <c r="J81" i="81"/>
  <c r="I168" i="81"/>
  <c r="I166" i="81" s="1"/>
  <c r="I160" i="81" s="1"/>
  <c r="I131" i="81"/>
  <c r="I127" i="81" s="1"/>
  <c r="H176" i="81"/>
  <c r="H175" i="81" s="1"/>
  <c r="H12" i="81" s="1"/>
  <c r="J166" i="81"/>
  <c r="J160" i="81" s="1"/>
  <c r="J131" i="81"/>
  <c r="J127" i="81" s="1"/>
  <c r="H168" i="81"/>
  <c r="H166" i="81" s="1"/>
  <c r="H160" i="81" s="1"/>
  <c r="F190" i="81"/>
  <c r="F13" i="81" s="1"/>
  <c r="F49" i="81"/>
  <c r="F47" i="81" s="1"/>
  <c r="F85" i="81"/>
  <c r="F89" i="81"/>
  <c r="G117" i="81"/>
  <c r="G123" i="81"/>
  <c r="F136" i="81"/>
  <c r="E131" i="80" s="1"/>
  <c r="F197" i="81"/>
  <c r="E194" i="80" s="1"/>
  <c r="F199" i="81"/>
  <c r="E196" i="80" s="1"/>
  <c r="E195" i="80" s="1"/>
  <c r="F201" i="81"/>
  <c r="E198" i="80" s="1"/>
  <c r="F203" i="81"/>
  <c r="E200" i="80" s="1"/>
  <c r="E199" i="80" s="1"/>
  <c r="F19" i="77"/>
  <c r="E126" i="80"/>
  <c r="E201" i="80"/>
  <c r="E197" i="80"/>
  <c r="E180" i="80"/>
  <c r="E178" i="80"/>
  <c r="E162" i="80"/>
  <c r="E156" i="80"/>
  <c r="E154" i="80"/>
  <c r="E152" i="80"/>
  <c r="E150" i="80"/>
  <c r="E120" i="80"/>
  <c r="E118" i="80"/>
  <c r="E116" i="80"/>
  <c r="E114" i="80"/>
  <c r="E94" i="80"/>
  <c r="E90" i="80"/>
  <c r="E56" i="80"/>
  <c r="E52" i="80"/>
  <c r="E50" i="80"/>
  <c r="E48" i="80"/>
  <c r="E19" i="80"/>
  <c r="E17" i="80" s="1"/>
  <c r="D20" i="80"/>
  <c r="B12" i="80"/>
  <c r="B11" i="80"/>
  <c r="B10" i="80"/>
  <c r="B9" i="80"/>
  <c r="F189" i="48"/>
  <c r="E191" i="80" l="1"/>
  <c r="E187" i="80" s="1"/>
  <c r="E12" i="80" s="1"/>
  <c r="E12" i="81"/>
  <c r="E35" i="50"/>
  <c r="E193" i="80"/>
  <c r="E148" i="80"/>
  <c r="I17" i="81"/>
  <c r="I10" i="81" s="1"/>
  <c r="H126" i="81"/>
  <c r="H11" i="81" s="1"/>
  <c r="J17" i="81"/>
  <c r="J10" i="81" s="1"/>
  <c r="I126" i="81"/>
  <c r="I11" i="81" s="1"/>
  <c r="E201" i="81"/>
  <c r="E200" i="81" s="1"/>
  <c r="F200" i="81"/>
  <c r="E199" i="81"/>
  <c r="E198" i="81" s="1"/>
  <c r="F198" i="81"/>
  <c r="G115" i="81"/>
  <c r="E197" i="81"/>
  <c r="E196" i="81" s="1"/>
  <c r="F196" i="81"/>
  <c r="E203" i="81"/>
  <c r="E202" i="81" s="1"/>
  <c r="F202" i="81"/>
  <c r="E136" i="81"/>
  <c r="E131" i="81" s="1"/>
  <c r="E127" i="81" s="1"/>
  <c r="E30" i="50" s="1"/>
  <c r="F131" i="81"/>
  <c r="F127" i="81" s="1"/>
  <c r="F81" i="81"/>
  <c r="F17" i="81" s="1"/>
  <c r="F10" i="81" s="1"/>
  <c r="G126" i="81"/>
  <c r="G11" i="81" s="1"/>
  <c r="J126" i="81"/>
  <c r="J11" i="81" s="1"/>
  <c r="E164" i="80"/>
  <c r="E158" i="80" s="1"/>
  <c r="E128" i="80"/>
  <c r="E124" i="80" s="1"/>
  <c r="E182" i="80"/>
  <c r="E176" i="80"/>
  <c r="E112" i="80"/>
  <c r="E46" i="80"/>
  <c r="I15" i="81" l="1"/>
  <c r="J15" i="81"/>
  <c r="E194" i="81"/>
  <c r="E190" i="81" s="1"/>
  <c r="F166" i="81"/>
  <c r="F160" i="81" s="1"/>
  <c r="F126" i="81" s="1"/>
  <c r="F11" i="81" s="1"/>
  <c r="F15" i="81" s="1"/>
  <c r="E168" i="81"/>
  <c r="E166" i="81" s="1"/>
  <c r="E160" i="81" s="1"/>
  <c r="E123" i="80"/>
  <c r="E10" i="80" s="1"/>
  <c r="E174" i="80"/>
  <c r="E173" i="80" s="1"/>
  <c r="E11" i="80" s="1"/>
  <c r="H8" i="78"/>
  <c r="K30" i="78"/>
  <c r="J30" i="78"/>
  <c r="G30" i="78"/>
  <c r="F30" i="78"/>
  <c r="K29" i="78"/>
  <c r="L29" i="78" s="1"/>
  <c r="J29" i="78"/>
  <c r="G29" i="78"/>
  <c r="F29" i="78"/>
  <c r="K28" i="78"/>
  <c r="J28" i="78"/>
  <c r="G28" i="78"/>
  <c r="F28" i="78"/>
  <c r="K27" i="78"/>
  <c r="J27" i="78"/>
  <c r="I27" i="78"/>
  <c r="I31" i="78" s="1"/>
  <c r="G27" i="78"/>
  <c r="F27" i="78"/>
  <c r="E27" i="78"/>
  <c r="E31" i="78" s="1"/>
  <c r="K25" i="78"/>
  <c r="J25" i="78"/>
  <c r="I25" i="78"/>
  <c r="G25" i="78"/>
  <c r="F25" i="78"/>
  <c r="E25" i="78"/>
  <c r="L24" i="78"/>
  <c r="H24" i="78"/>
  <c r="L23" i="78"/>
  <c r="H23" i="78"/>
  <c r="L22" i="78"/>
  <c r="H22" i="78"/>
  <c r="L21" i="78"/>
  <c r="H21" i="78"/>
  <c r="L20" i="78"/>
  <c r="H20" i="78"/>
  <c r="L19" i="78"/>
  <c r="H19" i="78"/>
  <c r="L18" i="78"/>
  <c r="H18" i="78"/>
  <c r="K16" i="78"/>
  <c r="J16" i="78"/>
  <c r="I16" i="78"/>
  <c r="G16" i="78"/>
  <c r="F16" i="78"/>
  <c r="E16" i="78"/>
  <c r="L15" i="78"/>
  <c r="H15" i="78"/>
  <c r="L14" i="78"/>
  <c r="H14" i="78"/>
  <c r="L13" i="78"/>
  <c r="H13" i="78"/>
  <c r="L12" i="78"/>
  <c r="H12" i="78"/>
  <c r="L11" i="78"/>
  <c r="H11" i="78"/>
  <c r="L10" i="78"/>
  <c r="H10" i="78"/>
  <c r="L9" i="78"/>
  <c r="H9" i="78"/>
  <c r="L8" i="78"/>
  <c r="J31" i="78" l="1"/>
  <c r="J33" i="78" s="1"/>
  <c r="L25" i="78"/>
  <c r="E33" i="78"/>
  <c r="H30" i="78"/>
  <c r="E126" i="81"/>
  <c r="E11" i="81" s="1"/>
  <c r="E32" i="50"/>
  <c r="E13" i="81"/>
  <c r="E39" i="50"/>
  <c r="H25" i="78"/>
  <c r="I33" i="78"/>
  <c r="L28" i="78"/>
  <c r="H16" i="78"/>
  <c r="L16" i="78"/>
  <c r="H28" i="78"/>
  <c r="L30" i="78"/>
  <c r="F31" i="78"/>
  <c r="F33" i="78" s="1"/>
  <c r="H29" i="78"/>
  <c r="G31" i="78"/>
  <c r="G33" i="78" s="1"/>
  <c r="K31" i="78"/>
  <c r="K33" i="78" s="1"/>
  <c r="H27" i="78"/>
  <c r="L27" i="78"/>
  <c r="H31" i="78" l="1"/>
  <c r="H33" i="78"/>
  <c r="H34" i="78" s="1"/>
  <c r="L31" i="78"/>
  <c r="L33" i="78"/>
  <c r="H88" i="48" l="1"/>
  <c r="Q19" i="77" l="1"/>
  <c r="R19" i="77" s="1"/>
  <c r="N19" i="77"/>
  <c r="O19" i="77" s="1"/>
  <c r="K19" i="77"/>
  <c r="L19" i="77" s="1"/>
  <c r="H19" i="77"/>
  <c r="I19" i="77" s="1"/>
  <c r="R14" i="77"/>
  <c r="O14" i="77"/>
  <c r="L14" i="77"/>
  <c r="I14" i="77"/>
  <c r="R9" i="77"/>
  <c r="O9" i="77"/>
  <c r="L9" i="77"/>
  <c r="I9" i="77"/>
  <c r="F6" i="77"/>
  <c r="I4" i="77"/>
  <c r="I6" i="77" s="1"/>
  <c r="L4" i="77" l="1"/>
  <c r="L6" i="77" s="1"/>
  <c r="B19" i="77"/>
  <c r="F8" i="77"/>
  <c r="O4" i="77" l="1"/>
  <c r="O6" i="77" s="1"/>
  <c r="F13" i="77"/>
  <c r="R4" i="77" l="1"/>
  <c r="R6" i="77" s="1"/>
  <c r="B6" i="77" s="1"/>
  <c r="F18" i="77"/>
  <c r="F20" i="77" s="1"/>
  <c r="I18" i="77" s="1"/>
  <c r="I20" i="77" s="1"/>
  <c r="L18" i="77" s="1"/>
  <c r="L20" i="77" s="1"/>
  <c r="O18" i="77" s="1"/>
  <c r="O20" i="77" s="1"/>
  <c r="R18" i="77" l="1"/>
  <c r="R20" i="77" s="1"/>
  <c r="R21" i="77" s="1"/>
  <c r="G135" i="48"/>
  <c r="F192" i="48"/>
  <c r="D20" i="48"/>
  <c r="H135" i="48" l="1"/>
  <c r="I135" i="48"/>
  <c r="J135" i="48"/>
  <c r="G161" i="48"/>
  <c r="H161" i="48"/>
  <c r="I161" i="48"/>
  <c r="J161" i="48"/>
  <c r="F161" i="48"/>
  <c r="E91" i="48" l="1"/>
  <c r="C33" i="72" l="1"/>
  <c r="F35" i="72" s="1"/>
  <c r="G35" i="72"/>
  <c r="D33" i="72"/>
  <c r="A33" i="72"/>
  <c r="D32" i="72"/>
  <c r="C32" i="72"/>
  <c r="E35" i="72" s="1"/>
  <c r="A32" i="72"/>
  <c r="D31" i="72"/>
  <c r="C31" i="72"/>
  <c r="D35" i="72" s="1"/>
  <c r="A31" i="72"/>
  <c r="A26" i="72"/>
  <c r="B23" i="72"/>
  <c r="A23" i="72"/>
  <c r="D31" i="45"/>
  <c r="G35" i="71" l="1"/>
  <c r="D33" i="71"/>
  <c r="C33" i="71"/>
  <c r="F35" i="71" s="1"/>
  <c r="A33" i="71"/>
  <c r="D32" i="71"/>
  <c r="C32" i="71"/>
  <c r="E35" i="71" s="1"/>
  <c r="A32" i="71"/>
  <c r="D31" i="71"/>
  <c r="C31" i="71"/>
  <c r="D35" i="71" s="1"/>
  <c r="A31" i="71"/>
  <c r="A26" i="71"/>
  <c r="B23" i="71"/>
  <c r="A23" i="71"/>
  <c r="B23" i="69" l="1"/>
  <c r="E10" i="70"/>
  <c r="E11" i="70"/>
  <c r="E12" i="70"/>
  <c r="E9" i="70"/>
  <c r="E8" i="70"/>
  <c r="H42" i="70"/>
  <c r="B42" i="70"/>
  <c r="H41" i="70"/>
  <c r="B41" i="70"/>
  <c r="H40" i="70"/>
  <c r="B40" i="70"/>
  <c r="B39" i="70"/>
  <c r="D24" i="70"/>
  <c r="F24" i="70" s="1"/>
  <c r="G24" i="70" s="1"/>
  <c r="D23" i="70"/>
  <c r="F23" i="70" s="1"/>
  <c r="G23" i="70" s="1"/>
  <c r="F22" i="70"/>
  <c r="G22" i="70" s="1"/>
  <c r="F21" i="70"/>
  <c r="G21" i="70" s="1"/>
  <c r="F20" i="70"/>
  <c r="F19" i="70"/>
  <c r="F18" i="70"/>
  <c r="C8" i="70"/>
  <c r="B56" i="69"/>
  <c r="B52" i="69"/>
  <c r="B48" i="69"/>
  <c r="B44" i="69"/>
  <c r="G35" i="69"/>
  <c r="D33" i="69"/>
  <c r="C33" i="69"/>
  <c r="F35" i="69" s="1"/>
  <c r="B60" i="69" s="1"/>
  <c r="A33" i="69"/>
  <c r="D32" i="69"/>
  <c r="C32" i="69"/>
  <c r="E35" i="69" s="1"/>
  <c r="A32" i="69"/>
  <c r="D31" i="69"/>
  <c r="C31" i="69"/>
  <c r="D35" i="69" s="1"/>
  <c r="A31" i="69"/>
  <c r="A26" i="69"/>
  <c r="A23" i="69"/>
  <c r="B61" i="67"/>
  <c r="B49" i="67"/>
  <c r="B57" i="67"/>
  <c r="B53" i="67"/>
  <c r="D23" i="67"/>
  <c r="E14" i="68"/>
  <c r="F14" i="68" s="1"/>
  <c r="D16" i="68"/>
  <c r="F16" i="68" s="1"/>
  <c r="D15" i="68"/>
  <c r="F15" i="68" s="1"/>
  <c r="B37" i="68"/>
  <c r="B36" i="68"/>
  <c r="B35" i="68"/>
  <c r="B34" i="68"/>
  <c r="H28" i="68"/>
  <c r="H37" i="68" s="1"/>
  <c r="F19" i="68"/>
  <c r="F18" i="68"/>
  <c r="F17" i="68"/>
  <c r="G17" i="68" s="1"/>
  <c r="D9" i="68"/>
  <c r="F9" i="68" s="1"/>
  <c r="D8" i="68"/>
  <c r="G19" i="68" l="1"/>
  <c r="G18" i="70"/>
  <c r="G20" i="70"/>
  <c r="G19" i="70"/>
  <c r="G17" i="70" s="1"/>
  <c r="H26" i="69"/>
  <c r="F8" i="68"/>
  <c r="G14" i="68"/>
  <c r="G15" i="68"/>
  <c r="G18" i="68"/>
  <c r="G16" i="68"/>
  <c r="H34" i="68"/>
  <c r="G9" i="68" s="1"/>
  <c r="H36" i="68"/>
  <c r="H35" i="68"/>
  <c r="J26" i="69" l="1"/>
  <c r="G13" i="68"/>
  <c r="G8" i="68"/>
  <c r="L26" i="69" l="1"/>
  <c r="G7" i="68"/>
  <c r="G20" i="68" s="1"/>
  <c r="H8" i="68" l="1"/>
  <c r="G22" i="68"/>
  <c r="H14" i="68"/>
  <c r="H17" i="68"/>
  <c r="H19" i="68"/>
  <c r="H9" i="68"/>
  <c r="H18" i="68"/>
  <c r="H16" i="68"/>
  <c r="H15" i="68"/>
  <c r="F26" i="67" l="1"/>
  <c r="D26" i="67"/>
  <c r="H7" i="68"/>
  <c r="H13" i="68"/>
  <c r="J45" i="67" l="1"/>
  <c r="F122" i="48"/>
  <c r="H26" i="67"/>
  <c r="G122" i="48"/>
  <c r="E49" i="67"/>
  <c r="J49" i="67" s="1"/>
  <c r="H20" i="68"/>
  <c r="J26" i="67" l="1"/>
  <c r="H122" i="48"/>
  <c r="E53" i="67"/>
  <c r="J53" i="67" s="1"/>
  <c r="B45" i="67"/>
  <c r="G35" i="67"/>
  <c r="E35" i="67"/>
  <c r="D33" i="67"/>
  <c r="C33" i="67"/>
  <c r="F35" i="67" s="1"/>
  <c r="A33" i="67"/>
  <c r="D32" i="67"/>
  <c r="C32" i="67"/>
  <c r="A32" i="67"/>
  <c r="D31" i="67"/>
  <c r="C31" i="67"/>
  <c r="D35" i="67" s="1"/>
  <c r="A31" i="67"/>
  <c r="A26" i="67"/>
  <c r="B23" i="67"/>
  <c r="A23" i="67"/>
  <c r="L26" i="67" l="1"/>
  <c r="I122" i="48"/>
  <c r="E57" i="67"/>
  <c r="J57" i="67" s="1"/>
  <c r="B47" i="66"/>
  <c r="G37" i="66"/>
  <c r="D35" i="66"/>
  <c r="C35" i="66"/>
  <c r="F37" i="66" s="1"/>
  <c r="A35" i="66"/>
  <c r="D34" i="66"/>
  <c r="C34" i="66"/>
  <c r="E37" i="66" s="1"/>
  <c r="A34" i="66"/>
  <c r="D33" i="66"/>
  <c r="C33" i="66"/>
  <c r="D37" i="66" s="1"/>
  <c r="A33" i="66"/>
  <c r="A26" i="66"/>
  <c r="B23" i="66"/>
  <c r="A23" i="66"/>
  <c r="B47" i="65"/>
  <c r="G37" i="65"/>
  <c r="D35" i="65"/>
  <c r="C35" i="65"/>
  <c r="F37" i="65" s="1"/>
  <c r="A35" i="65"/>
  <c r="D34" i="65"/>
  <c r="C34" i="65"/>
  <c r="E37" i="65" s="1"/>
  <c r="A34" i="65"/>
  <c r="D33" i="65"/>
  <c r="C33" i="65"/>
  <c r="D37" i="65" s="1"/>
  <c r="A33" i="65"/>
  <c r="A26" i="65"/>
  <c r="B23" i="65"/>
  <c r="A23" i="65"/>
  <c r="E8" i="42"/>
  <c r="H19" i="48"/>
  <c r="H17" i="48" s="1"/>
  <c r="I19" i="48"/>
  <c r="I17" i="48" s="1"/>
  <c r="J19" i="48"/>
  <c r="J17" i="48" s="1"/>
  <c r="F92" i="48"/>
  <c r="E91" i="80" s="1"/>
  <c r="J89" i="48"/>
  <c r="I89" i="48"/>
  <c r="G89" i="48"/>
  <c r="F89" i="48"/>
  <c r="E88" i="80" s="1"/>
  <c r="L55" i="64"/>
  <c r="D56" i="64" s="1"/>
  <c r="J88" i="48"/>
  <c r="I88" i="48"/>
  <c r="G36" i="58"/>
  <c r="G36" i="57"/>
  <c r="G35" i="41"/>
  <c r="G38" i="37"/>
  <c r="F38" i="37"/>
  <c r="E38" i="37"/>
  <c r="D38" i="37"/>
  <c r="G36" i="60"/>
  <c r="G37" i="59"/>
  <c r="G37" i="63"/>
  <c r="D37" i="63"/>
  <c r="G37" i="61"/>
  <c r="M63" i="64"/>
  <c r="L63" i="64"/>
  <c r="K63" i="64"/>
  <c r="J63" i="64"/>
  <c r="I63" i="64"/>
  <c r="H63" i="64"/>
  <c r="G63" i="64"/>
  <c r="F63" i="64"/>
  <c r="E63" i="64"/>
  <c r="D63" i="64"/>
  <c r="C63" i="64"/>
  <c r="B63" i="64"/>
  <c r="M62" i="64"/>
  <c r="L62" i="64"/>
  <c r="K62" i="64"/>
  <c r="J62" i="64"/>
  <c r="I62" i="64"/>
  <c r="H62" i="64"/>
  <c r="G62" i="64"/>
  <c r="F62" i="64"/>
  <c r="E62" i="64"/>
  <c r="D62" i="64"/>
  <c r="C62" i="64"/>
  <c r="B62" i="64"/>
  <c r="M59" i="64"/>
  <c r="L59" i="64"/>
  <c r="K59" i="64"/>
  <c r="J59" i="64"/>
  <c r="I59" i="64"/>
  <c r="H59" i="64"/>
  <c r="G59" i="64"/>
  <c r="F59" i="64"/>
  <c r="E59" i="64"/>
  <c r="D59" i="64"/>
  <c r="C59" i="64"/>
  <c r="B59" i="64"/>
  <c r="M58" i="64"/>
  <c r="L58" i="64"/>
  <c r="K58" i="64"/>
  <c r="J58" i="64"/>
  <c r="I58" i="64"/>
  <c r="H58" i="64"/>
  <c r="G58" i="64"/>
  <c r="F58" i="64"/>
  <c r="E58" i="64"/>
  <c r="D58" i="64"/>
  <c r="C58" i="64"/>
  <c r="B58" i="64"/>
  <c r="M55" i="64"/>
  <c r="K55" i="64"/>
  <c r="J55" i="64"/>
  <c r="I55" i="64"/>
  <c r="H55" i="64"/>
  <c r="G55" i="64"/>
  <c r="F55" i="64"/>
  <c r="E55" i="64"/>
  <c r="D55" i="64"/>
  <c r="C55" i="64"/>
  <c r="B55" i="64"/>
  <c r="G54" i="64"/>
  <c r="F54" i="64"/>
  <c r="E54" i="64"/>
  <c r="D54" i="64"/>
  <c r="C54" i="64"/>
  <c r="B54" i="64"/>
  <c r="M51" i="64"/>
  <c r="L51" i="64"/>
  <c r="K51" i="64"/>
  <c r="J51" i="64"/>
  <c r="I51" i="64"/>
  <c r="H51" i="64"/>
  <c r="G51" i="64"/>
  <c r="F51" i="64"/>
  <c r="E51" i="64"/>
  <c r="D51" i="64"/>
  <c r="C51" i="64"/>
  <c r="B51" i="64"/>
  <c r="M50" i="64"/>
  <c r="L50" i="64"/>
  <c r="K50" i="64"/>
  <c r="J50" i="64"/>
  <c r="I50" i="64"/>
  <c r="H50" i="64"/>
  <c r="G50" i="64"/>
  <c r="F50" i="64"/>
  <c r="E50" i="64"/>
  <c r="D50" i="64"/>
  <c r="C50" i="64"/>
  <c r="B50" i="64"/>
  <c r="B46" i="64"/>
  <c r="C46" i="64"/>
  <c r="D46" i="64"/>
  <c r="E46" i="64"/>
  <c r="F46" i="64"/>
  <c r="G46" i="64"/>
  <c r="H46" i="64"/>
  <c r="I46" i="64"/>
  <c r="J46" i="64"/>
  <c r="K46" i="64"/>
  <c r="L46" i="64"/>
  <c r="M46" i="64"/>
  <c r="G37" i="64"/>
  <c r="D37" i="64"/>
  <c r="B26" i="64"/>
  <c r="J47" i="64"/>
  <c r="F47" i="64"/>
  <c r="B47" i="64"/>
  <c r="D35" i="64"/>
  <c r="C35" i="64"/>
  <c r="F37" i="64" s="1"/>
  <c r="A35" i="64"/>
  <c r="D34" i="64"/>
  <c r="C34" i="64"/>
  <c r="E37" i="64" s="1"/>
  <c r="A34" i="64"/>
  <c r="D33" i="64"/>
  <c r="C33" i="64"/>
  <c r="A33" i="64"/>
  <c r="M47" i="64"/>
  <c r="A26" i="64"/>
  <c r="B23" i="64"/>
  <c r="A23" i="64"/>
  <c r="B23" i="63"/>
  <c r="D35" i="63"/>
  <c r="C35" i="63"/>
  <c r="F37" i="63" s="1"/>
  <c r="A35" i="63"/>
  <c r="D34" i="63"/>
  <c r="C34" i="63"/>
  <c r="E37" i="63" s="1"/>
  <c r="A34" i="63"/>
  <c r="D33" i="63"/>
  <c r="C33" i="63"/>
  <c r="A33" i="63"/>
  <c r="A26" i="63"/>
  <c r="A23" i="63"/>
  <c r="B55" i="61"/>
  <c r="B51" i="61"/>
  <c r="B47" i="61"/>
  <c r="E61" i="67" l="1"/>
  <c r="J61" i="67" s="1"/>
  <c r="J122" i="48"/>
  <c r="B26" i="67"/>
  <c r="C47" i="64"/>
  <c r="G47" i="64"/>
  <c r="K47" i="64"/>
  <c r="D47" i="64"/>
  <c r="H47" i="64"/>
  <c r="L47" i="64"/>
  <c r="E47" i="64"/>
  <c r="I47" i="64"/>
  <c r="B54" i="62"/>
  <c r="B53" i="62"/>
  <c r="B52" i="62"/>
  <c r="B51" i="62"/>
  <c r="H45" i="62"/>
  <c r="H54" i="62" s="1"/>
  <c r="F36" i="62"/>
  <c r="F35" i="62"/>
  <c r="F34" i="62"/>
  <c r="F33" i="62"/>
  <c r="F32" i="62"/>
  <c r="F31" i="62"/>
  <c r="F26" i="62"/>
  <c r="E12" i="62"/>
  <c r="F12" i="62" s="1"/>
  <c r="D12" i="62"/>
  <c r="E11" i="62"/>
  <c r="D11" i="62"/>
  <c r="F11" i="62" s="1"/>
  <c r="E10" i="62"/>
  <c r="D10" i="62"/>
  <c r="F10" i="62" s="1"/>
  <c r="E9" i="62"/>
  <c r="D9" i="62"/>
  <c r="F8" i="62"/>
  <c r="E8" i="62"/>
  <c r="D8" i="62"/>
  <c r="D35" i="61"/>
  <c r="C35" i="61"/>
  <c r="F37" i="61" s="1"/>
  <c r="A35" i="61"/>
  <c r="D34" i="61"/>
  <c r="C34" i="61"/>
  <c r="E37" i="61" s="1"/>
  <c r="A34" i="61"/>
  <c r="D33" i="61"/>
  <c r="C33" i="61"/>
  <c r="D37" i="61" s="1"/>
  <c r="A33" i="61"/>
  <c r="A26" i="61"/>
  <c r="B23" i="61"/>
  <c r="A23" i="61"/>
  <c r="B23" i="59"/>
  <c r="D34" i="59"/>
  <c r="H84" i="48"/>
  <c r="H83" i="48" s="1"/>
  <c r="G84" i="48"/>
  <c r="G83" i="48" s="1"/>
  <c r="F84" i="48"/>
  <c r="E83" i="80" s="1"/>
  <c r="E82" i="80" s="1"/>
  <c r="J44" i="60"/>
  <c r="F44" i="60"/>
  <c r="B44" i="60"/>
  <c r="D34" i="60"/>
  <c r="C34" i="60"/>
  <c r="F36" i="60" s="1"/>
  <c r="A34" i="60"/>
  <c r="D33" i="60"/>
  <c r="C33" i="60"/>
  <c r="E36" i="60" s="1"/>
  <c r="A33" i="60"/>
  <c r="D32" i="60"/>
  <c r="C32" i="60"/>
  <c r="D36" i="60" s="1"/>
  <c r="A32" i="60"/>
  <c r="M48" i="60"/>
  <c r="M44" i="60"/>
  <c r="A26" i="60"/>
  <c r="B23" i="60"/>
  <c r="A23" i="60"/>
  <c r="D35" i="59"/>
  <c r="C35" i="59"/>
  <c r="F37" i="59" s="1"/>
  <c r="A35" i="59"/>
  <c r="C34" i="59"/>
  <c r="E37" i="59" s="1"/>
  <c r="A34" i="59"/>
  <c r="D33" i="59"/>
  <c r="C33" i="59"/>
  <c r="D37" i="59" s="1"/>
  <c r="A33" i="59"/>
  <c r="A26" i="59"/>
  <c r="A23" i="59"/>
  <c r="J52" i="48"/>
  <c r="I52" i="48"/>
  <c r="H52" i="48"/>
  <c r="G52" i="48"/>
  <c r="F52" i="48"/>
  <c r="D34" i="58"/>
  <c r="C34" i="58"/>
  <c r="F36" i="58" s="1"/>
  <c r="A34" i="58"/>
  <c r="D33" i="58"/>
  <c r="C33" i="58"/>
  <c r="E36" i="58" s="1"/>
  <c r="A33" i="58"/>
  <c r="D32" i="58"/>
  <c r="C32" i="58"/>
  <c r="D36" i="58" s="1"/>
  <c r="A32" i="58"/>
  <c r="A26" i="58"/>
  <c r="B23" i="58"/>
  <c r="A23" i="58"/>
  <c r="H44" i="57"/>
  <c r="I44" i="57"/>
  <c r="J44" i="57"/>
  <c r="D26" i="57"/>
  <c r="F9" i="62" l="1"/>
  <c r="G9" i="62" s="1"/>
  <c r="C44" i="57"/>
  <c r="F26" i="57"/>
  <c r="F44" i="57"/>
  <c r="D44" i="57"/>
  <c r="G11" i="62"/>
  <c r="G33" i="62"/>
  <c r="G10" i="62"/>
  <c r="H51" i="62"/>
  <c r="G12" i="62" s="1"/>
  <c r="E44" i="57"/>
  <c r="B44" i="57"/>
  <c r="F49" i="48"/>
  <c r="H53" i="62"/>
  <c r="G26" i="62" s="1"/>
  <c r="G25" i="62" s="1"/>
  <c r="G24" i="62" s="1"/>
  <c r="M44" i="57"/>
  <c r="L44" i="57"/>
  <c r="G88" i="48"/>
  <c r="G36" i="62"/>
  <c r="G32" i="62"/>
  <c r="G34" i="62"/>
  <c r="G31" i="62"/>
  <c r="G35" i="62"/>
  <c r="H52" i="62"/>
  <c r="F83" i="48"/>
  <c r="B48" i="60"/>
  <c r="F48" i="60"/>
  <c r="J48" i="60"/>
  <c r="C44" i="60"/>
  <c r="G44" i="60"/>
  <c r="K44" i="60"/>
  <c r="C48" i="60"/>
  <c r="G48" i="60"/>
  <c r="K48" i="60"/>
  <c r="D44" i="60"/>
  <c r="H44" i="60"/>
  <c r="L44" i="60"/>
  <c r="D48" i="60"/>
  <c r="H48" i="60"/>
  <c r="L48" i="60"/>
  <c r="E44" i="60"/>
  <c r="I44" i="60"/>
  <c r="E48" i="60"/>
  <c r="I48" i="60"/>
  <c r="M48" i="57"/>
  <c r="I48" i="57"/>
  <c r="E48" i="57"/>
  <c r="B48" i="57"/>
  <c r="J48" i="57"/>
  <c r="F48" i="57"/>
  <c r="H26" i="57"/>
  <c r="H49" i="48" s="1"/>
  <c r="L48" i="57"/>
  <c r="H48" i="57"/>
  <c r="K44" i="57"/>
  <c r="G44" i="57"/>
  <c r="G48" i="57"/>
  <c r="G49" i="48" l="1"/>
  <c r="C48" i="57"/>
  <c r="G8" i="62"/>
  <c r="G7" i="62" s="1"/>
  <c r="K48" i="57"/>
  <c r="D48" i="57"/>
  <c r="G30" i="62"/>
  <c r="M52" i="60"/>
  <c r="I52" i="60"/>
  <c r="E52" i="60"/>
  <c r="F52" i="60"/>
  <c r="L52" i="60"/>
  <c r="H52" i="60"/>
  <c r="D52" i="60"/>
  <c r="J26" i="60"/>
  <c r="I84" i="48" s="1"/>
  <c r="K52" i="60"/>
  <c r="G52" i="60"/>
  <c r="C52" i="60"/>
  <c r="J52" i="60"/>
  <c r="B52" i="60"/>
  <c r="C52" i="57"/>
  <c r="G52" i="57"/>
  <c r="K52" i="57"/>
  <c r="D52" i="57"/>
  <c r="L52" i="57"/>
  <c r="J26" i="57"/>
  <c r="I49" i="48" s="1"/>
  <c r="F52" i="57"/>
  <c r="H52" i="57"/>
  <c r="J52" i="57"/>
  <c r="E52" i="57"/>
  <c r="I52" i="57"/>
  <c r="M52" i="57"/>
  <c r="B52" i="57"/>
  <c r="I83" i="48" l="1"/>
  <c r="M56" i="60"/>
  <c r="I56" i="60"/>
  <c r="E56" i="60"/>
  <c r="B56" i="60"/>
  <c r="L56" i="60"/>
  <c r="H56" i="60"/>
  <c r="D56" i="60"/>
  <c r="K56" i="60"/>
  <c r="G56" i="60"/>
  <c r="C56" i="60"/>
  <c r="L26" i="60"/>
  <c r="J84" i="48" s="1"/>
  <c r="J83" i="48" s="1"/>
  <c r="J56" i="60"/>
  <c r="F56" i="60"/>
  <c r="C56" i="57"/>
  <c r="G56" i="57"/>
  <c r="K56" i="57"/>
  <c r="L26" i="57"/>
  <c r="J49" i="48" s="1"/>
  <c r="E49" i="48" s="1"/>
  <c r="J56" i="57"/>
  <c r="D56" i="57"/>
  <c r="H56" i="57"/>
  <c r="L56" i="57"/>
  <c r="E56" i="57"/>
  <c r="I56" i="57"/>
  <c r="M56" i="57"/>
  <c r="F56" i="57"/>
  <c r="B56" i="57"/>
  <c r="E84" i="48" l="1"/>
  <c r="E83" i="48" s="1"/>
  <c r="M60" i="60"/>
  <c r="I60" i="60"/>
  <c r="E60" i="60"/>
  <c r="B60" i="60"/>
  <c r="L60" i="60"/>
  <c r="H60" i="60"/>
  <c r="D60" i="60"/>
  <c r="K60" i="60"/>
  <c r="G60" i="60"/>
  <c r="C60" i="60"/>
  <c r="J60" i="60"/>
  <c r="F60" i="60"/>
  <c r="B26" i="60"/>
  <c r="C60" i="57"/>
  <c r="G60" i="57"/>
  <c r="K60" i="57"/>
  <c r="B60" i="57"/>
  <c r="D60" i="57"/>
  <c r="H60" i="57"/>
  <c r="L60" i="57"/>
  <c r="J60" i="57"/>
  <c r="E60" i="57"/>
  <c r="I60" i="57"/>
  <c r="M60" i="57"/>
  <c r="F60" i="57"/>
  <c r="B26" i="57" l="1"/>
  <c r="D34" i="57"/>
  <c r="C34" i="57"/>
  <c r="F36" i="57" s="1"/>
  <c r="A34" i="57"/>
  <c r="D33" i="57"/>
  <c r="C33" i="57"/>
  <c r="E36" i="57" s="1"/>
  <c r="A33" i="57"/>
  <c r="D32" i="57"/>
  <c r="C32" i="57"/>
  <c r="D36" i="57" s="1"/>
  <c r="A32" i="57"/>
  <c r="A26" i="57"/>
  <c r="B23" i="57"/>
  <c r="A23" i="57"/>
  <c r="B28" i="56"/>
  <c r="B27" i="56"/>
  <c r="B26" i="56"/>
  <c r="B25" i="56"/>
  <c r="H19" i="56"/>
  <c r="H28" i="56" s="1"/>
  <c r="H25" i="56" l="1"/>
  <c r="H27" i="56"/>
  <c r="H26" i="56"/>
  <c r="D20" i="55"/>
  <c r="F20" i="55" s="1"/>
  <c r="G20" i="55" s="1"/>
  <c r="D19" i="55"/>
  <c r="D18" i="55"/>
  <c r="B40" i="55"/>
  <c r="B39" i="55"/>
  <c r="B38" i="55"/>
  <c r="B37" i="55"/>
  <c r="H31" i="55"/>
  <c r="H40" i="55" s="1"/>
  <c r="F22" i="55"/>
  <c r="F21" i="55"/>
  <c r="F19" i="55"/>
  <c r="F18" i="55"/>
  <c r="F17" i="55"/>
  <c r="E12" i="55"/>
  <c r="D12" i="55"/>
  <c r="F12" i="55" s="1"/>
  <c r="G12" i="55" s="1"/>
  <c r="E11" i="55"/>
  <c r="F11" i="55" s="1"/>
  <c r="G11" i="55" s="1"/>
  <c r="D11" i="55"/>
  <c r="E10" i="55"/>
  <c r="D10" i="55"/>
  <c r="F10" i="55" s="1"/>
  <c r="E9" i="55"/>
  <c r="D9" i="55"/>
  <c r="F9" i="55" s="1"/>
  <c r="E8" i="55"/>
  <c r="D8" i="55"/>
  <c r="F8" i="55" s="1"/>
  <c r="E25" i="54"/>
  <c r="F25" i="54" s="1"/>
  <c r="E19" i="54"/>
  <c r="E18" i="54"/>
  <c r="E17" i="54"/>
  <c r="E16" i="54"/>
  <c r="B53" i="54"/>
  <c r="B52" i="54"/>
  <c r="B51" i="54"/>
  <c r="B50" i="54"/>
  <c r="H44" i="54"/>
  <c r="H53" i="54" s="1"/>
  <c r="F35" i="54"/>
  <c r="F34" i="54"/>
  <c r="F33" i="54"/>
  <c r="F32" i="54"/>
  <c r="F31" i="54"/>
  <c r="F30" i="54"/>
  <c r="E11" i="54"/>
  <c r="D11" i="54"/>
  <c r="E10" i="54"/>
  <c r="D10" i="54"/>
  <c r="F10" i="54" s="1"/>
  <c r="E9" i="54"/>
  <c r="D9" i="54"/>
  <c r="F9" i="54" s="1"/>
  <c r="E8" i="54"/>
  <c r="D8" i="54"/>
  <c r="G18" i="55" l="1"/>
  <c r="G22" i="55"/>
  <c r="G19" i="55"/>
  <c r="G33" i="54"/>
  <c r="G21" i="55"/>
  <c r="G17" i="55"/>
  <c r="G16" i="55" s="1"/>
  <c r="H37" i="55"/>
  <c r="H39" i="55"/>
  <c r="H38" i="55"/>
  <c r="F11" i="54"/>
  <c r="F8" i="54"/>
  <c r="G31" i="54"/>
  <c r="G35" i="54"/>
  <c r="G30" i="54"/>
  <c r="G32" i="54"/>
  <c r="G34" i="54"/>
  <c r="H50" i="54"/>
  <c r="G10" i="54" s="1"/>
  <c r="H52" i="54"/>
  <c r="G25" i="54" s="1"/>
  <c r="H51" i="54"/>
  <c r="G8" i="55" l="1"/>
  <c r="G10" i="55"/>
  <c r="G9" i="55"/>
  <c r="G24" i="54"/>
  <c r="G23" i="54" s="1"/>
  <c r="G29" i="54"/>
  <c r="G11" i="54"/>
  <c r="G8" i="54"/>
  <c r="G9" i="54"/>
  <c r="G7" i="55" l="1"/>
  <c r="G23" i="55" s="1"/>
  <c r="G7" i="54"/>
  <c r="H8" i="55" l="1"/>
  <c r="D26" i="58"/>
  <c r="H10" i="55"/>
  <c r="H19" i="55"/>
  <c r="H20" i="55"/>
  <c r="H18" i="55"/>
  <c r="H22" i="55"/>
  <c r="H17" i="55"/>
  <c r="H21" i="55"/>
  <c r="H11" i="55"/>
  <c r="H12" i="55"/>
  <c r="H9" i="55"/>
  <c r="J44" i="58" l="1"/>
  <c r="F179" i="48"/>
  <c r="M44" i="58"/>
  <c r="L44" i="58"/>
  <c r="F44" i="58"/>
  <c r="E44" i="58"/>
  <c r="I44" i="58"/>
  <c r="B44" i="58"/>
  <c r="C44" i="58"/>
  <c r="F26" i="58"/>
  <c r="G44" i="58"/>
  <c r="H44" i="58"/>
  <c r="K44" i="58"/>
  <c r="D44" i="58"/>
  <c r="H7" i="55"/>
  <c r="H16" i="55"/>
  <c r="G179" i="48" l="1"/>
  <c r="H48" i="58"/>
  <c r="K48" i="58"/>
  <c r="G48" i="58"/>
  <c r="L48" i="58"/>
  <c r="D48" i="58"/>
  <c r="M48" i="58"/>
  <c r="E48" i="58"/>
  <c r="C48" i="58"/>
  <c r="J48" i="58"/>
  <c r="F48" i="58"/>
  <c r="I48" i="58"/>
  <c r="H26" i="58"/>
  <c r="B48" i="58"/>
  <c r="H23" i="55"/>
  <c r="H179" i="48" l="1"/>
  <c r="H52" i="58"/>
  <c r="M52" i="58"/>
  <c r="G52" i="58"/>
  <c r="B52" i="58"/>
  <c r="D52" i="58"/>
  <c r="J26" i="58"/>
  <c r="I52" i="58"/>
  <c r="K52" i="58"/>
  <c r="E52" i="58"/>
  <c r="C52" i="58"/>
  <c r="F52" i="58"/>
  <c r="L52" i="58"/>
  <c r="J52" i="58"/>
  <c r="I179" i="48" l="1"/>
  <c r="F56" i="58"/>
  <c r="B56" i="58"/>
  <c r="M56" i="58"/>
  <c r="I56" i="58"/>
  <c r="C56" i="58"/>
  <c r="L56" i="58"/>
  <c r="H56" i="58"/>
  <c r="D56" i="58"/>
  <c r="K56" i="58"/>
  <c r="L26" i="58"/>
  <c r="E56" i="58"/>
  <c r="G56" i="58"/>
  <c r="J56" i="58"/>
  <c r="B54" i="53"/>
  <c r="B53" i="53"/>
  <c r="B52" i="53"/>
  <c r="B51" i="53"/>
  <c r="H45" i="53"/>
  <c r="H54" i="53" s="1"/>
  <c r="F36" i="53"/>
  <c r="F35" i="53"/>
  <c r="F34" i="53"/>
  <c r="F33" i="53"/>
  <c r="F32" i="53"/>
  <c r="F31" i="53"/>
  <c r="F26" i="53"/>
  <c r="E12" i="53"/>
  <c r="D12" i="53"/>
  <c r="E11" i="53"/>
  <c r="D11" i="53"/>
  <c r="E10" i="53"/>
  <c r="D10" i="53"/>
  <c r="E9" i="53"/>
  <c r="D9" i="53"/>
  <c r="E8" i="53"/>
  <c r="D8" i="53"/>
  <c r="E9" i="52"/>
  <c r="E10" i="52"/>
  <c r="E11" i="52"/>
  <c r="E12" i="52"/>
  <c r="E8" i="52"/>
  <c r="D9" i="52"/>
  <c r="D10" i="52"/>
  <c r="D11" i="52"/>
  <c r="D12" i="52"/>
  <c r="D8" i="52"/>
  <c r="B46" i="52"/>
  <c r="B45" i="52"/>
  <c r="B44" i="52"/>
  <c r="B43" i="52"/>
  <c r="H37" i="52"/>
  <c r="H45" i="52" s="1"/>
  <c r="F28" i="52"/>
  <c r="F27" i="52"/>
  <c r="F26" i="52"/>
  <c r="F25" i="52"/>
  <c r="F24" i="52"/>
  <c r="F23" i="52"/>
  <c r="F18" i="52"/>
  <c r="F11" i="52" l="1"/>
  <c r="J179" i="48"/>
  <c r="E179" i="48" s="1"/>
  <c r="D60" i="58"/>
  <c r="K60" i="58"/>
  <c r="M60" i="58"/>
  <c r="I60" i="58"/>
  <c r="C60" i="58"/>
  <c r="J60" i="58"/>
  <c r="B60" i="58"/>
  <c r="L60" i="58"/>
  <c r="H60" i="58"/>
  <c r="G60" i="58"/>
  <c r="E60" i="58"/>
  <c r="F60" i="58"/>
  <c r="B26" i="58"/>
  <c r="F10" i="52"/>
  <c r="F9" i="52"/>
  <c r="F8" i="53"/>
  <c r="F12" i="53"/>
  <c r="G32" i="53"/>
  <c r="F9" i="53"/>
  <c r="F11" i="53"/>
  <c r="G34" i="53"/>
  <c r="F10" i="53"/>
  <c r="G36" i="53"/>
  <c r="G33" i="53"/>
  <c r="G35" i="53"/>
  <c r="G31" i="53"/>
  <c r="H51" i="53"/>
  <c r="G12" i="53" s="1"/>
  <c r="H53" i="53"/>
  <c r="G26" i="53" s="1"/>
  <c r="H52" i="53"/>
  <c r="G18" i="52"/>
  <c r="G17" i="52" s="1"/>
  <c r="G16" i="52" s="1"/>
  <c r="F12" i="52"/>
  <c r="F8" i="52"/>
  <c r="H44" i="52"/>
  <c r="H46" i="52"/>
  <c r="G23" i="52" s="1"/>
  <c r="H43" i="52"/>
  <c r="G9" i="52" s="1"/>
  <c r="G9" i="53" l="1"/>
  <c r="G11" i="53"/>
  <c r="G25" i="53"/>
  <c r="G24" i="53" s="1"/>
  <c r="G30" i="53"/>
  <c r="G8" i="53"/>
  <c r="G10" i="53"/>
  <c r="G25" i="52"/>
  <c r="G27" i="52"/>
  <c r="G12" i="52"/>
  <c r="G26" i="52"/>
  <c r="G11" i="52"/>
  <c r="G10" i="52"/>
  <c r="G8" i="52"/>
  <c r="G28" i="52"/>
  <c r="G24" i="52"/>
  <c r="G7" i="53" l="1"/>
  <c r="G7" i="52"/>
  <c r="G22" i="52"/>
  <c r="G29" i="52" l="1"/>
  <c r="H18" i="52" l="1"/>
  <c r="H12" i="52"/>
  <c r="H27" i="52"/>
  <c r="H23" i="52"/>
  <c r="H9" i="52"/>
  <c r="H25" i="52"/>
  <c r="H26" i="52"/>
  <c r="H24" i="52"/>
  <c r="H8" i="52"/>
  <c r="H10" i="52"/>
  <c r="H28" i="52"/>
  <c r="H11" i="52"/>
  <c r="H7" i="52" l="1"/>
  <c r="H17" i="52"/>
  <c r="H16" i="52" s="1"/>
  <c r="H22" i="52"/>
  <c r="H29" i="52" l="1"/>
  <c r="J56" i="48"/>
  <c r="I56" i="48"/>
  <c r="G56" i="48"/>
  <c r="E12" i="42"/>
  <c r="E11" i="42"/>
  <c r="E10" i="40"/>
  <c r="E9" i="40"/>
  <c r="E8" i="40"/>
  <c r="D24" i="42"/>
  <c r="D23" i="42"/>
  <c r="E9" i="42"/>
  <c r="D20" i="42"/>
  <c r="E10" i="42"/>
  <c r="B12" i="50"/>
  <c r="B11" i="50"/>
  <c r="B10" i="50"/>
  <c r="B9" i="50"/>
  <c r="E4" i="48"/>
  <c r="F4" i="50" s="1"/>
  <c r="E48" i="48"/>
  <c r="J185" i="48"/>
  <c r="J12" i="48" s="1"/>
  <c r="I200" i="48"/>
  <c r="I199" i="48" s="1"/>
  <c r="H200" i="48"/>
  <c r="H199" i="48" s="1"/>
  <c r="G200" i="48"/>
  <c r="G199" i="48" s="1"/>
  <c r="F185" i="48"/>
  <c r="F12" i="48" s="1"/>
  <c r="E183" i="48"/>
  <c r="E182" i="48"/>
  <c r="E181" i="48"/>
  <c r="J180" i="48"/>
  <c r="I180" i="48"/>
  <c r="H180" i="48"/>
  <c r="G180" i="48"/>
  <c r="F180" i="48"/>
  <c r="E178" i="48"/>
  <c r="J178" i="48"/>
  <c r="I178" i="48"/>
  <c r="H178" i="48"/>
  <c r="G178" i="48"/>
  <c r="F178" i="48"/>
  <c r="E176" i="48"/>
  <c r="E175" i="48"/>
  <c r="E164" i="48"/>
  <c r="E162" i="48"/>
  <c r="E161" i="48" s="1"/>
  <c r="E156" i="48"/>
  <c r="E155" i="48" s="1"/>
  <c r="J155" i="48"/>
  <c r="I155" i="48"/>
  <c r="H155" i="48"/>
  <c r="G155" i="48"/>
  <c r="F155" i="48"/>
  <c r="E154" i="48"/>
  <c r="E153" i="48" s="1"/>
  <c r="J153" i="48"/>
  <c r="I153" i="48"/>
  <c r="H153" i="48"/>
  <c r="G153" i="48"/>
  <c r="F153" i="48"/>
  <c r="E152" i="48"/>
  <c r="E151" i="48" s="1"/>
  <c r="J151" i="48"/>
  <c r="I151" i="48"/>
  <c r="H151" i="48"/>
  <c r="G151" i="48"/>
  <c r="F151" i="48"/>
  <c r="E150" i="48"/>
  <c r="E149" i="48"/>
  <c r="J148" i="48"/>
  <c r="I148" i="48"/>
  <c r="H148" i="48"/>
  <c r="G148" i="48"/>
  <c r="F148" i="48"/>
  <c r="E135" i="48"/>
  <c r="E132" i="48"/>
  <c r="J127" i="48"/>
  <c r="I127" i="48"/>
  <c r="H127" i="48"/>
  <c r="G127" i="48"/>
  <c r="E122" i="48"/>
  <c r="E121" i="48" s="1"/>
  <c r="J121" i="48"/>
  <c r="I121" i="48"/>
  <c r="H121" i="48"/>
  <c r="G121" i="48"/>
  <c r="F121" i="48"/>
  <c r="E119" i="48"/>
  <c r="J119" i="48"/>
  <c r="I119" i="48"/>
  <c r="H119" i="48"/>
  <c r="G119" i="48"/>
  <c r="F119" i="48"/>
  <c r="J117" i="48"/>
  <c r="I117" i="48"/>
  <c r="H117" i="48"/>
  <c r="G117" i="48"/>
  <c r="F117" i="48"/>
  <c r="E117" i="48"/>
  <c r="E95" i="48"/>
  <c r="J95" i="48"/>
  <c r="I95" i="48"/>
  <c r="H95" i="48"/>
  <c r="F95" i="48"/>
  <c r="G95" i="48"/>
  <c r="E89" i="48"/>
  <c r="E52" i="48"/>
  <c r="E51" i="48"/>
  <c r="E50" i="48" s="1"/>
  <c r="J50" i="48"/>
  <c r="I50" i="48"/>
  <c r="H50" i="48"/>
  <c r="G50" i="48"/>
  <c r="F50" i="48"/>
  <c r="J48" i="48"/>
  <c r="I48" i="48"/>
  <c r="H48" i="48"/>
  <c r="G48" i="48"/>
  <c r="F48" i="48"/>
  <c r="B12" i="48"/>
  <c r="B11" i="48"/>
  <c r="B10" i="48"/>
  <c r="B9" i="48"/>
  <c r="E148" i="48" l="1"/>
  <c r="E146" i="48" s="1"/>
  <c r="H146" i="48"/>
  <c r="E180" i="48"/>
  <c r="J46" i="48"/>
  <c r="F46" i="48"/>
  <c r="G46" i="48"/>
  <c r="I46" i="48"/>
  <c r="I146" i="48"/>
  <c r="H185" i="48"/>
  <c r="H12" i="48" s="1"/>
  <c r="G185" i="48"/>
  <c r="G12" i="48" s="1"/>
  <c r="E46" i="48"/>
  <c r="G146" i="48"/>
  <c r="F146" i="48"/>
  <c r="J146" i="48"/>
  <c r="H46" i="48"/>
  <c r="J192" i="48"/>
  <c r="J191" i="48" s="1"/>
  <c r="J194" i="48"/>
  <c r="J193" i="48" s="1"/>
  <c r="F196" i="48"/>
  <c r="F198" i="48"/>
  <c r="J200" i="48"/>
  <c r="J199" i="48" s="1"/>
  <c r="I185" i="48"/>
  <c r="I12" i="48" s="1"/>
  <c r="G192" i="48"/>
  <c r="G191" i="48" s="1"/>
  <c r="G194" i="48"/>
  <c r="G193" i="48" s="1"/>
  <c r="G196" i="48"/>
  <c r="G195" i="48" s="1"/>
  <c r="G198" i="48"/>
  <c r="G197" i="48" s="1"/>
  <c r="F194" i="48"/>
  <c r="J196" i="48"/>
  <c r="J195" i="48" s="1"/>
  <c r="J198" i="48"/>
  <c r="J197" i="48" s="1"/>
  <c r="F200" i="48"/>
  <c r="H192" i="48"/>
  <c r="H191" i="48" s="1"/>
  <c r="H194" i="48"/>
  <c r="H193" i="48" s="1"/>
  <c r="H196" i="48"/>
  <c r="H195" i="48" s="1"/>
  <c r="H198" i="48"/>
  <c r="H197" i="48" s="1"/>
  <c r="I192" i="48"/>
  <c r="I191" i="48" s="1"/>
  <c r="I194" i="48"/>
  <c r="I193" i="48" s="1"/>
  <c r="I196" i="48"/>
  <c r="I195" i="48" s="1"/>
  <c r="I198" i="48"/>
  <c r="I197" i="48" s="1"/>
  <c r="E200" i="48" l="1"/>
  <c r="E199" i="48" s="1"/>
  <c r="F199" i="48"/>
  <c r="E192" i="48"/>
  <c r="E191" i="48" s="1"/>
  <c r="F191" i="48"/>
  <c r="E196" i="48"/>
  <c r="E195" i="48" s="1"/>
  <c r="F195" i="48"/>
  <c r="E198" i="48"/>
  <c r="E197" i="48" s="1"/>
  <c r="F197" i="48"/>
  <c r="E194" i="48"/>
  <c r="E193" i="48" s="1"/>
  <c r="F193" i="48"/>
  <c r="E34" i="50" l="1"/>
  <c r="E11" i="50" s="1"/>
  <c r="E189" i="48"/>
  <c r="E185" i="48" l="1"/>
  <c r="E12" i="48" s="1"/>
  <c r="E37" i="50" l="1"/>
  <c r="E12" i="50" s="1"/>
  <c r="D12" i="47" l="1"/>
  <c r="D11" i="47"/>
  <c r="E10" i="47"/>
  <c r="E9" i="47"/>
  <c r="E8" i="47"/>
  <c r="D9" i="47"/>
  <c r="D10" i="47"/>
  <c r="D8" i="47"/>
  <c r="D21" i="47"/>
  <c r="D22" i="47"/>
  <c r="D19" i="47"/>
  <c r="D18" i="47"/>
  <c r="E12" i="47" l="1"/>
  <c r="E11" i="47"/>
  <c r="B40" i="47"/>
  <c r="B39" i="47"/>
  <c r="B38" i="47"/>
  <c r="B37" i="47"/>
  <c r="H31" i="47"/>
  <c r="H40" i="47" s="1"/>
  <c r="F22" i="47"/>
  <c r="F21" i="47"/>
  <c r="F20" i="47"/>
  <c r="F19" i="47"/>
  <c r="F18" i="47"/>
  <c r="F17" i="47"/>
  <c r="F9" i="47"/>
  <c r="D35" i="46"/>
  <c r="F34" i="46"/>
  <c r="F25" i="46"/>
  <c r="G34" i="46" l="1"/>
  <c r="G20" i="47"/>
  <c r="F12" i="47"/>
  <c r="G12" i="47" s="1"/>
  <c r="F11" i="47"/>
  <c r="G11" i="47" s="1"/>
  <c r="F10" i="47"/>
  <c r="F8" i="47"/>
  <c r="G18" i="47"/>
  <c r="G21" i="47"/>
  <c r="G22" i="47"/>
  <c r="G19" i="47"/>
  <c r="G17" i="47"/>
  <c r="H37" i="47"/>
  <c r="H39" i="47"/>
  <c r="H38" i="47"/>
  <c r="B54" i="46"/>
  <c r="B53" i="46"/>
  <c r="B52" i="46"/>
  <c r="B51" i="46"/>
  <c r="H45" i="46"/>
  <c r="H54" i="46" s="1"/>
  <c r="F36" i="46"/>
  <c r="F35" i="46"/>
  <c r="F33" i="46"/>
  <c r="F32" i="46"/>
  <c r="F31" i="46"/>
  <c r="F30" i="46"/>
  <c r="F42" i="45"/>
  <c r="F41" i="45"/>
  <c r="F40" i="45"/>
  <c r="F39" i="45"/>
  <c r="F38" i="45"/>
  <c r="F37" i="45"/>
  <c r="B59" i="45"/>
  <c r="F32" i="45"/>
  <c r="F31" i="45"/>
  <c r="F30" i="45"/>
  <c r="F29" i="45"/>
  <c r="F26" i="45"/>
  <c r="F25" i="45"/>
  <c r="B60" i="45"/>
  <c r="B58" i="45"/>
  <c r="B57" i="45"/>
  <c r="H51" i="45"/>
  <c r="H60" i="45" s="1"/>
  <c r="G40" i="45" l="1"/>
  <c r="G39" i="45"/>
  <c r="G37" i="45"/>
  <c r="G41" i="45"/>
  <c r="G38" i="45"/>
  <c r="G42" i="45"/>
  <c r="G10" i="47"/>
  <c r="G9" i="47"/>
  <c r="G8" i="47"/>
  <c r="G16" i="47"/>
  <c r="H53" i="46"/>
  <c r="H51" i="46"/>
  <c r="G36" i="46"/>
  <c r="G31" i="46"/>
  <c r="G35" i="46"/>
  <c r="G30" i="46"/>
  <c r="G33" i="46"/>
  <c r="G32" i="46"/>
  <c r="H52" i="46"/>
  <c r="H57" i="45"/>
  <c r="H59" i="45"/>
  <c r="G30" i="45" s="1"/>
  <c r="H58" i="45"/>
  <c r="G36" i="45" l="1"/>
  <c r="G7" i="47"/>
  <c r="G25" i="46"/>
  <c r="G24" i="46" s="1"/>
  <c r="G29" i="46"/>
  <c r="G25" i="45"/>
  <c r="G31" i="45"/>
  <c r="G26" i="45"/>
  <c r="G32" i="45"/>
  <c r="G29" i="45"/>
  <c r="G23" i="47" l="1"/>
  <c r="G24" i="45"/>
  <c r="G28" i="45"/>
  <c r="H9" i="47" l="1"/>
  <c r="F26" i="66"/>
  <c r="D26" i="66"/>
  <c r="H19" i="47"/>
  <c r="H10" i="47"/>
  <c r="H18" i="47"/>
  <c r="H17" i="47"/>
  <c r="H22" i="47"/>
  <c r="H20" i="47"/>
  <c r="H8" i="47"/>
  <c r="H21" i="47"/>
  <c r="H12" i="47"/>
  <c r="H11" i="47"/>
  <c r="G23" i="45"/>
  <c r="M51" i="66" l="1"/>
  <c r="G177" i="48"/>
  <c r="H26" i="66"/>
  <c r="K51" i="66"/>
  <c r="L51" i="66"/>
  <c r="J51" i="66"/>
  <c r="F51" i="66"/>
  <c r="I51" i="66"/>
  <c r="B51" i="66"/>
  <c r="C51" i="66"/>
  <c r="E51" i="66"/>
  <c r="H51" i="66"/>
  <c r="D51" i="66"/>
  <c r="G51" i="66"/>
  <c r="M47" i="66"/>
  <c r="F177" i="48"/>
  <c r="J47" i="66"/>
  <c r="I47" i="66"/>
  <c r="H47" i="66"/>
  <c r="K47" i="66"/>
  <c r="L47" i="66"/>
  <c r="H16" i="47"/>
  <c r="H7" i="47"/>
  <c r="G166" i="48" l="1"/>
  <c r="G134" i="48" s="1"/>
  <c r="G174" i="48"/>
  <c r="G172" i="48" s="1"/>
  <c r="G171" i="48" s="1"/>
  <c r="G11" i="48" s="1"/>
  <c r="F166" i="48"/>
  <c r="F174" i="48"/>
  <c r="F172" i="48" s="1"/>
  <c r="F171" i="48" s="1"/>
  <c r="F11" i="48" s="1"/>
  <c r="M55" i="66"/>
  <c r="H177" i="48"/>
  <c r="J26" i="66"/>
  <c r="F55" i="66"/>
  <c r="E55" i="66"/>
  <c r="B55" i="66"/>
  <c r="J55" i="66"/>
  <c r="C55" i="66"/>
  <c r="D55" i="66"/>
  <c r="I55" i="66"/>
  <c r="L55" i="66"/>
  <c r="G55" i="66"/>
  <c r="H55" i="66"/>
  <c r="K55" i="66"/>
  <c r="H23" i="47"/>
  <c r="I177" i="48" l="1"/>
  <c r="I59" i="66"/>
  <c r="K59" i="66"/>
  <c r="L26" i="66"/>
  <c r="E59" i="66"/>
  <c r="G59" i="66"/>
  <c r="C59" i="66"/>
  <c r="L59" i="66"/>
  <c r="F59" i="66"/>
  <c r="J59" i="66"/>
  <c r="H59" i="66"/>
  <c r="D59" i="66"/>
  <c r="B59" i="66"/>
  <c r="M59" i="66"/>
  <c r="B26" i="66"/>
  <c r="F134" i="48"/>
  <c r="H166" i="48"/>
  <c r="H134" i="48" s="1"/>
  <c r="H174" i="48"/>
  <c r="H172" i="48" s="1"/>
  <c r="H171" i="48" s="1"/>
  <c r="H11" i="48" s="1"/>
  <c r="C33" i="41"/>
  <c r="F35" i="41" s="1"/>
  <c r="C32" i="41"/>
  <c r="E35" i="41" s="1"/>
  <c r="C31" i="41"/>
  <c r="D35" i="41" s="1"/>
  <c r="D33" i="41"/>
  <c r="J177" i="48" l="1"/>
  <c r="M63" i="66"/>
  <c r="K63" i="66"/>
  <c r="F63" i="66"/>
  <c r="I63" i="66"/>
  <c r="G63" i="66"/>
  <c r="J63" i="66"/>
  <c r="H63" i="66"/>
  <c r="D63" i="66"/>
  <c r="E63" i="66"/>
  <c r="C63" i="66"/>
  <c r="L63" i="66"/>
  <c r="B63" i="66"/>
  <c r="I166" i="48"/>
  <c r="I174" i="48"/>
  <c r="I172" i="48" s="1"/>
  <c r="I171" i="48" s="1"/>
  <c r="I11" i="48" s="1"/>
  <c r="E177" i="48"/>
  <c r="E174" i="48" s="1"/>
  <c r="E172" i="48" s="1"/>
  <c r="E171" i="48" s="1"/>
  <c r="E11" i="48" s="1"/>
  <c r="E130" i="48"/>
  <c r="H42" i="42"/>
  <c r="B42" i="42"/>
  <c r="H41" i="42"/>
  <c r="B41" i="42"/>
  <c r="H40" i="42"/>
  <c r="B40" i="42"/>
  <c r="B39" i="42"/>
  <c r="F24" i="42"/>
  <c r="G24" i="42" s="1"/>
  <c r="F23" i="42"/>
  <c r="G23" i="42" s="1"/>
  <c r="F22" i="42"/>
  <c r="G22" i="42" s="1"/>
  <c r="F21" i="42"/>
  <c r="F20" i="42"/>
  <c r="F19" i="42"/>
  <c r="F18" i="42"/>
  <c r="C8" i="42"/>
  <c r="A33" i="41"/>
  <c r="D32" i="41"/>
  <c r="A32" i="41"/>
  <c r="D31" i="41"/>
  <c r="A31" i="41"/>
  <c r="A26" i="41"/>
  <c r="B23" i="41"/>
  <c r="A23" i="41"/>
  <c r="I134" i="48" l="1"/>
  <c r="E166" i="48"/>
  <c r="G18" i="42"/>
  <c r="G20" i="42"/>
  <c r="G21" i="42"/>
  <c r="J166" i="48"/>
  <c r="J134" i="48" s="1"/>
  <c r="J174" i="48"/>
  <c r="J172" i="48" s="1"/>
  <c r="J171" i="48" s="1"/>
  <c r="J11" i="48" s="1"/>
  <c r="G19" i="42"/>
  <c r="G17" i="42" s="1"/>
  <c r="A27" i="37"/>
  <c r="A23" i="37"/>
  <c r="D23" i="40"/>
  <c r="F23" i="40" s="1"/>
  <c r="D24" i="40"/>
  <c r="F24" i="40" s="1"/>
  <c r="E11" i="40"/>
  <c r="E12" i="40"/>
  <c r="C8" i="40"/>
  <c r="B42" i="40"/>
  <c r="B41" i="40"/>
  <c r="B40" i="40"/>
  <c r="B39" i="40"/>
  <c r="H42" i="40"/>
  <c r="F22" i="40"/>
  <c r="F21" i="40"/>
  <c r="F20" i="40"/>
  <c r="F19" i="40"/>
  <c r="F18" i="40"/>
  <c r="A36" i="37"/>
  <c r="D36" i="37"/>
  <c r="D35" i="37"/>
  <c r="A35" i="37"/>
  <c r="D34" i="37"/>
  <c r="A34" i="37"/>
  <c r="E134" i="48" l="1"/>
  <c r="G18" i="40"/>
  <c r="G22" i="40"/>
  <c r="G23" i="40"/>
  <c r="G20" i="40"/>
  <c r="G24" i="40"/>
  <c r="G21" i="40"/>
  <c r="G19" i="40"/>
  <c r="H41" i="40"/>
  <c r="H40" i="40"/>
  <c r="B23" i="37"/>
  <c r="G17" i="40" l="1"/>
  <c r="B60" i="38"/>
  <c r="B59" i="38"/>
  <c r="B58" i="38"/>
  <c r="B57" i="38"/>
  <c r="F31" i="38"/>
  <c r="F30" i="38"/>
  <c r="F28" i="38"/>
  <c r="F27" i="38"/>
  <c r="F26" i="38"/>
  <c r="F25" i="38"/>
  <c r="F29" i="38" l="1"/>
  <c r="H51" i="38"/>
  <c r="F42" i="38"/>
  <c r="D41" i="38"/>
  <c r="D40" i="38"/>
  <c r="F39" i="38"/>
  <c r="F38" i="38"/>
  <c r="F37" i="38"/>
  <c r="F36" i="38"/>
  <c r="H60" i="38" l="1"/>
  <c r="H59" i="38"/>
  <c r="H58" i="38"/>
  <c r="H57" i="38"/>
  <c r="G29" i="38"/>
  <c r="G36" i="38"/>
  <c r="F40" i="38"/>
  <c r="G40" i="38" s="1"/>
  <c r="G26" i="38"/>
  <c r="G31" i="38"/>
  <c r="G38" i="38"/>
  <c r="G30" i="38"/>
  <c r="G25" i="38"/>
  <c r="G27" i="38"/>
  <c r="G28" i="38"/>
  <c r="G37" i="38"/>
  <c r="G39" i="38"/>
  <c r="G42" i="38"/>
  <c r="F41" i="38"/>
  <c r="G41" i="38" s="1"/>
  <c r="G24" i="38" l="1"/>
  <c r="G35" i="38"/>
  <c r="C28" i="35" l="1"/>
  <c r="E28" i="35" s="1"/>
  <c r="F28" i="35" s="1"/>
  <c r="C23" i="35"/>
  <c r="C20" i="35"/>
  <c r="C16" i="35"/>
  <c r="H13" i="35"/>
  <c r="C9" i="70" l="1"/>
  <c r="D9" i="70" s="1"/>
  <c r="F9" i="70" s="1"/>
  <c r="C12" i="70"/>
  <c r="D12" i="70" s="1"/>
  <c r="F12" i="70" s="1"/>
  <c r="C11" i="70"/>
  <c r="D11" i="70" s="1"/>
  <c r="F11" i="70" s="1"/>
  <c r="C10" i="70"/>
  <c r="D10" i="70" s="1"/>
  <c r="F10" i="70" s="1"/>
  <c r="E23" i="35"/>
  <c r="F23" i="35" s="1"/>
  <c r="C12" i="42"/>
  <c r="D12" i="42" s="1"/>
  <c r="F12" i="42" s="1"/>
  <c r="C10" i="42"/>
  <c r="D10" i="42" s="1"/>
  <c r="F10" i="42" s="1"/>
  <c r="C9" i="42"/>
  <c r="D9" i="42" s="1"/>
  <c r="F9" i="42" s="1"/>
  <c r="C11" i="42"/>
  <c r="D11" i="42" s="1"/>
  <c r="F11" i="42" s="1"/>
  <c r="C11" i="40"/>
  <c r="D11" i="40" s="1"/>
  <c r="F11" i="40" s="1"/>
  <c r="C9" i="40"/>
  <c r="D9" i="40" s="1"/>
  <c r="F9" i="40" s="1"/>
  <c r="C12" i="40"/>
  <c r="D12" i="40" s="1"/>
  <c r="F12" i="40" s="1"/>
  <c r="C10" i="40"/>
  <c r="D10" i="40" s="1"/>
  <c r="F10" i="40" s="1"/>
  <c r="H20" i="35"/>
  <c r="C26" i="17" l="1"/>
  <c r="C30" i="17" s="1"/>
  <c r="C25" i="17"/>
  <c r="C29" i="17" l="1"/>
  <c r="C25" i="18"/>
  <c r="C10" i="18"/>
  <c r="C12" i="18"/>
  <c r="C66" i="17" l="1"/>
  <c r="C54" i="17"/>
  <c r="C48" i="17" s="1"/>
  <c r="C36" i="18"/>
  <c r="C32" i="18"/>
  <c r="C31" i="18" s="1"/>
  <c r="C30" i="18"/>
  <c r="C27" i="18" s="1"/>
  <c r="C23" i="18"/>
  <c r="C11" i="18"/>
  <c r="C13" i="18" s="1"/>
  <c r="C62" i="17"/>
  <c r="C63" i="17" s="1"/>
  <c r="C5" i="17"/>
  <c r="C64" i="17" l="1"/>
  <c r="C56" i="17" s="1"/>
  <c r="C72" i="17" s="1"/>
  <c r="C22" i="18"/>
  <c r="C43" i="18" s="1"/>
  <c r="C16" i="18"/>
  <c r="C18" i="18" s="1"/>
  <c r="C6" i="18"/>
  <c r="C44" i="18" l="1"/>
  <c r="C20" i="18"/>
  <c r="C15" i="18" s="1"/>
  <c r="D8" i="70" l="1"/>
  <c r="F8" i="70" s="1"/>
  <c r="D17" i="62"/>
  <c r="F17" i="62" s="1"/>
  <c r="G17" i="62" s="1"/>
  <c r="D20" i="62"/>
  <c r="F20" i="62" s="1"/>
  <c r="G20" i="62" s="1"/>
  <c r="D19" i="62"/>
  <c r="F19" i="62" s="1"/>
  <c r="G19" i="62" s="1"/>
  <c r="D18" i="62"/>
  <c r="F18" i="62" s="1"/>
  <c r="G18" i="62" s="1"/>
  <c r="D16" i="54"/>
  <c r="F16" i="54" s="1"/>
  <c r="G16" i="54" s="1"/>
  <c r="D19" i="54"/>
  <c r="F19" i="54" s="1"/>
  <c r="G19" i="54" s="1"/>
  <c r="D18" i="54"/>
  <c r="F18" i="54" s="1"/>
  <c r="G18" i="54" s="1"/>
  <c r="D17" i="54"/>
  <c r="F17" i="54" s="1"/>
  <c r="G17" i="54" s="1"/>
  <c r="D19" i="53"/>
  <c r="F19" i="53" s="1"/>
  <c r="G19" i="53" s="1"/>
  <c r="D18" i="53"/>
  <c r="F18" i="53" s="1"/>
  <c r="G18" i="53" s="1"/>
  <c r="D20" i="53"/>
  <c r="F20" i="53" s="1"/>
  <c r="G20" i="53" s="1"/>
  <c r="D17" i="53"/>
  <c r="F17" i="53" s="1"/>
  <c r="D15" i="46"/>
  <c r="F15" i="46" s="1"/>
  <c r="G15" i="46" s="1"/>
  <c r="D20" i="46"/>
  <c r="F20" i="46" s="1"/>
  <c r="G20" i="46" s="1"/>
  <c r="D8" i="46"/>
  <c r="F8" i="46" s="1"/>
  <c r="G8" i="46" s="1"/>
  <c r="D9" i="46"/>
  <c r="F9" i="46" s="1"/>
  <c r="G9" i="46" s="1"/>
  <c r="D11" i="46"/>
  <c r="F11" i="46" s="1"/>
  <c r="G11" i="46" s="1"/>
  <c r="D12" i="46"/>
  <c r="F12" i="46" s="1"/>
  <c r="G12" i="46" s="1"/>
  <c r="D10" i="46"/>
  <c r="F10" i="46" s="1"/>
  <c r="G10" i="46" s="1"/>
  <c r="D13" i="46"/>
  <c r="F13" i="46" s="1"/>
  <c r="G13" i="46" s="1"/>
  <c r="D14" i="46"/>
  <c r="F14" i="46" s="1"/>
  <c r="G14" i="46" s="1"/>
  <c r="D16" i="45"/>
  <c r="F16" i="45" s="1"/>
  <c r="G16" i="45" s="1"/>
  <c r="D11" i="45"/>
  <c r="F11" i="45" s="1"/>
  <c r="G11" i="45" s="1"/>
  <c r="D19" i="45"/>
  <c r="F19" i="45" s="1"/>
  <c r="G19" i="45" s="1"/>
  <c r="D17" i="45"/>
  <c r="F17" i="45" s="1"/>
  <c r="G17" i="45" s="1"/>
  <c r="D10" i="45"/>
  <c r="F10" i="45" s="1"/>
  <c r="G10" i="45" s="1"/>
  <c r="D9" i="45"/>
  <c r="F9" i="45" s="1"/>
  <c r="G9" i="45" s="1"/>
  <c r="D8" i="45"/>
  <c r="F8" i="45" s="1"/>
  <c r="G8" i="45" s="1"/>
  <c r="D7" i="45"/>
  <c r="F7" i="45" s="1"/>
  <c r="G7" i="45" s="1"/>
  <c r="D18" i="45"/>
  <c r="F18" i="45" s="1"/>
  <c r="G18" i="45" s="1"/>
  <c r="D9" i="38"/>
  <c r="F9" i="38" s="1"/>
  <c r="G9" i="38" s="1"/>
  <c r="D17" i="38"/>
  <c r="F17" i="38" s="1"/>
  <c r="G17" i="38" s="1"/>
  <c r="D11" i="38"/>
  <c r="F11" i="38" s="1"/>
  <c r="G11" i="38" s="1"/>
  <c r="D8" i="38"/>
  <c r="F8" i="38" s="1"/>
  <c r="G8" i="38" s="1"/>
  <c r="D18" i="38"/>
  <c r="F18" i="38" s="1"/>
  <c r="G18" i="38" s="1"/>
  <c r="D7" i="38"/>
  <c r="F7" i="38" s="1"/>
  <c r="G7" i="38" s="1"/>
  <c r="D8" i="42"/>
  <c r="F8" i="42" s="1"/>
  <c r="D19" i="38"/>
  <c r="F19" i="38" s="1"/>
  <c r="G19" i="38" s="1"/>
  <c r="D16" i="38"/>
  <c r="F16" i="38" s="1"/>
  <c r="G16" i="38" s="1"/>
  <c r="G15" i="38" s="1"/>
  <c r="D20" i="38"/>
  <c r="F20" i="38" s="1"/>
  <c r="G20" i="38" s="1"/>
  <c r="D10" i="38"/>
  <c r="F10" i="38" s="1"/>
  <c r="G10" i="38" s="1"/>
  <c r="D8" i="40"/>
  <c r="F8" i="40" s="1"/>
  <c r="C37" i="17"/>
  <c r="C32" i="17"/>
  <c r="C33" i="17" s="1"/>
  <c r="C24" i="17"/>
  <c r="C23" i="17" s="1"/>
  <c r="C16" i="17"/>
  <c r="C38" i="17"/>
  <c r="C45" i="18"/>
  <c r="C21" i="17"/>
  <c r="C18" i="17"/>
  <c r="C17" i="17"/>
  <c r="C19" i="17"/>
  <c r="C20" i="17"/>
  <c r="G15" i="45" l="1"/>
  <c r="G19" i="46"/>
  <c r="G6" i="45"/>
  <c r="G15" i="54"/>
  <c r="G36" i="54" s="1"/>
  <c r="H19" i="54" s="1"/>
  <c r="H16" i="54"/>
  <c r="G6" i="38"/>
  <c r="G43" i="38" s="1"/>
  <c r="G17" i="53"/>
  <c r="H18" i="62"/>
  <c r="G7" i="46"/>
  <c r="C36" i="17"/>
  <c r="C42" i="17" s="1"/>
  <c r="G16" i="62"/>
  <c r="G37" i="62" s="1"/>
  <c r="H17" i="62"/>
  <c r="C15" i="17"/>
  <c r="C41" i="17" s="1"/>
  <c r="H16" i="38" l="1"/>
  <c r="H40" i="38"/>
  <c r="H37" i="38"/>
  <c r="H42" i="38"/>
  <c r="H28" i="38"/>
  <c r="H27" i="38"/>
  <c r="H25" i="38"/>
  <c r="H24" i="38" s="1"/>
  <c r="H39" i="38"/>
  <c r="H41" i="38"/>
  <c r="H26" i="38"/>
  <c r="H31" i="38"/>
  <c r="H38" i="38"/>
  <c r="H29" i="38"/>
  <c r="H30" i="38"/>
  <c r="H36" i="38"/>
  <c r="H18" i="38"/>
  <c r="H9" i="38"/>
  <c r="G37" i="46"/>
  <c r="H8" i="38"/>
  <c r="H10" i="38"/>
  <c r="D26" i="59"/>
  <c r="H26" i="59"/>
  <c r="F50" i="59" s="1"/>
  <c r="F26" i="61"/>
  <c r="H26" i="61"/>
  <c r="H8" i="54"/>
  <c r="H10" i="54"/>
  <c r="H11" i="54"/>
  <c r="H32" i="54"/>
  <c r="H9" i="54"/>
  <c r="H35" i="54"/>
  <c r="H31" i="54"/>
  <c r="H30" i="54"/>
  <c r="H33" i="54"/>
  <c r="H25" i="54"/>
  <c r="H24" i="54" s="1"/>
  <c r="H23" i="54" s="1"/>
  <c r="H34" i="54"/>
  <c r="H34" i="62"/>
  <c r="J26" i="61"/>
  <c r="H12" i="62"/>
  <c r="H11" i="62"/>
  <c r="H31" i="62"/>
  <c r="H26" i="62"/>
  <c r="H25" i="62" s="1"/>
  <c r="H24" i="62" s="1"/>
  <c r="H8" i="62"/>
  <c r="H35" i="62"/>
  <c r="H10" i="62"/>
  <c r="H36" i="62"/>
  <c r="H32" i="62"/>
  <c r="H33" i="62"/>
  <c r="H9" i="62"/>
  <c r="H18" i="54"/>
  <c r="H19" i="62"/>
  <c r="H20" i="62"/>
  <c r="H16" i="62" s="1"/>
  <c r="G43" i="45"/>
  <c r="H19" i="38"/>
  <c r="H11" i="38"/>
  <c r="H17" i="38"/>
  <c r="H20" i="38"/>
  <c r="G16" i="53"/>
  <c r="G37" i="53" s="1"/>
  <c r="H17" i="53" s="1"/>
  <c r="H17" i="54"/>
  <c r="H15" i="54" s="1"/>
  <c r="H7" i="38"/>
  <c r="H6" i="38" s="1"/>
  <c r="C40" i="17"/>
  <c r="C44" i="17" s="1"/>
  <c r="C74" i="17" s="1"/>
  <c r="F26" i="71" l="1"/>
  <c r="E48" i="71" s="1"/>
  <c r="H29" i="45"/>
  <c r="H39" i="45"/>
  <c r="H37" i="45"/>
  <c r="H26" i="45"/>
  <c r="H25" i="45"/>
  <c r="H24" i="45" s="1"/>
  <c r="H41" i="45"/>
  <c r="H33" i="45"/>
  <c r="H32" i="45"/>
  <c r="H42" i="45"/>
  <c r="J26" i="71"/>
  <c r="E56" i="71" s="1"/>
  <c r="D26" i="71"/>
  <c r="H31" i="45"/>
  <c r="H30" i="45"/>
  <c r="H26" i="71"/>
  <c r="E52" i="71" s="1"/>
  <c r="H38" i="45"/>
  <c r="H40" i="45"/>
  <c r="L26" i="71"/>
  <c r="E60" i="71" s="1"/>
  <c r="H11" i="45"/>
  <c r="H9" i="45"/>
  <c r="H17" i="45"/>
  <c r="H8" i="45"/>
  <c r="H10" i="45"/>
  <c r="H18" i="45"/>
  <c r="H7" i="45"/>
  <c r="H19" i="45"/>
  <c r="H16" i="45"/>
  <c r="H15" i="45" s="1"/>
  <c r="I46" i="59"/>
  <c r="J46" i="59"/>
  <c r="K46" i="59"/>
  <c r="M46" i="59"/>
  <c r="L46" i="59"/>
  <c r="H46" i="59"/>
  <c r="B50" i="59"/>
  <c r="F88" i="48"/>
  <c r="B26" i="59"/>
  <c r="H35" i="38"/>
  <c r="H7" i="62"/>
  <c r="H37" i="62" s="1"/>
  <c r="H10" i="53"/>
  <c r="F26" i="72"/>
  <c r="D26" i="72"/>
  <c r="H12" i="53"/>
  <c r="H31" i="53"/>
  <c r="H36" i="53"/>
  <c r="H11" i="53"/>
  <c r="H32" i="53"/>
  <c r="H33" i="53"/>
  <c r="H26" i="53"/>
  <c r="H25" i="53" s="1"/>
  <c r="H24" i="53" s="1"/>
  <c r="H8" i="53"/>
  <c r="H35" i="53"/>
  <c r="H9" i="53"/>
  <c r="H34" i="53"/>
  <c r="H19" i="53"/>
  <c r="H18" i="53"/>
  <c r="H16" i="53" s="1"/>
  <c r="H20" i="53"/>
  <c r="H30" i="62"/>
  <c r="H7" i="54"/>
  <c r="H32" i="46"/>
  <c r="D26" i="65"/>
  <c r="H26" i="65"/>
  <c r="F26" i="65"/>
  <c r="H33" i="46"/>
  <c r="H25" i="46"/>
  <c r="H24" i="46" s="1"/>
  <c r="H35" i="46"/>
  <c r="H36" i="46"/>
  <c r="H30" i="46"/>
  <c r="H31" i="46"/>
  <c r="H34" i="46"/>
  <c r="H12" i="46"/>
  <c r="H9" i="46"/>
  <c r="H11" i="46"/>
  <c r="H8" i="46"/>
  <c r="H20" i="46"/>
  <c r="H19" i="46" s="1"/>
  <c r="H10" i="46"/>
  <c r="H13" i="46"/>
  <c r="H15" i="46"/>
  <c r="H14" i="46"/>
  <c r="L26" i="61"/>
  <c r="D59" i="61"/>
  <c r="B59" i="61"/>
  <c r="J59" i="61"/>
  <c r="C59" i="61"/>
  <c r="K59" i="61"/>
  <c r="E59" i="61"/>
  <c r="L59" i="61"/>
  <c r="M59" i="61"/>
  <c r="G59" i="61"/>
  <c r="I59" i="61"/>
  <c r="F59" i="61"/>
  <c r="I92" i="48"/>
  <c r="H59" i="61"/>
  <c r="H43" i="38"/>
  <c r="H29" i="54"/>
  <c r="H94" i="84"/>
  <c r="H89" i="84" s="1"/>
  <c r="H81" i="84" s="1"/>
  <c r="H17" i="84" s="1"/>
  <c r="H10" i="84" s="1"/>
  <c r="H15" i="84" s="1"/>
  <c r="H94" i="81"/>
  <c r="H89" i="81" s="1"/>
  <c r="H81" i="81" s="1"/>
  <c r="H17" i="81" s="1"/>
  <c r="H10" i="81" s="1"/>
  <c r="H15" i="81" s="1"/>
  <c r="H92" i="48"/>
  <c r="F4" i="35"/>
  <c r="H29" i="70"/>
  <c r="H39" i="70" s="1"/>
  <c r="H29" i="42"/>
  <c r="H39" i="42" s="1"/>
  <c r="H29" i="40"/>
  <c r="H39" i="40" s="1"/>
  <c r="G94" i="84"/>
  <c r="G94" i="81"/>
  <c r="G92" i="48"/>
  <c r="H15" i="38"/>
  <c r="C14" i="35"/>
  <c r="C12" i="35" s="1"/>
  <c r="E12" i="35" s="1"/>
  <c r="C17" i="35"/>
  <c r="C15" i="35" s="1"/>
  <c r="E15" i="35" s="1"/>
  <c r="F15" i="35" s="1"/>
  <c r="C21" i="35"/>
  <c r="C19" i="35" s="1"/>
  <c r="E19" i="35" s="1"/>
  <c r="F19" i="35" s="1"/>
  <c r="E63" i="61" l="1"/>
  <c r="J63" i="61"/>
  <c r="D63" i="61"/>
  <c r="L63" i="61"/>
  <c r="H63" i="61"/>
  <c r="I63" i="61"/>
  <c r="C63" i="61"/>
  <c r="F63" i="61"/>
  <c r="B63" i="61"/>
  <c r="M63" i="61"/>
  <c r="K63" i="61"/>
  <c r="J92" i="48"/>
  <c r="G63" i="61"/>
  <c r="H23" i="45"/>
  <c r="G89" i="84"/>
  <c r="G81" i="84" s="1"/>
  <c r="G17" i="84" s="1"/>
  <c r="G10" i="84" s="1"/>
  <c r="G15" i="84" s="1"/>
  <c r="E94" i="84"/>
  <c r="E89" i="84" s="1"/>
  <c r="E81" i="84" s="1"/>
  <c r="E17" i="84" s="1"/>
  <c r="E10" i="84" s="1"/>
  <c r="E15" i="84" s="1"/>
  <c r="F51" i="65"/>
  <c r="E51" i="65"/>
  <c r="I51" i="65"/>
  <c r="M51" i="65"/>
  <c r="G116" i="48"/>
  <c r="G115" i="48" s="1"/>
  <c r="G113" i="48" s="1"/>
  <c r="H51" i="65"/>
  <c r="C51" i="65"/>
  <c r="B51" i="65"/>
  <c r="J51" i="65"/>
  <c r="L51" i="65"/>
  <c r="D51" i="65"/>
  <c r="K51" i="65"/>
  <c r="G51" i="65"/>
  <c r="E55" i="65"/>
  <c r="D55" i="65"/>
  <c r="G55" i="65"/>
  <c r="H116" i="48"/>
  <c r="H115" i="48" s="1"/>
  <c r="H113" i="48" s="1"/>
  <c r="B55" i="65"/>
  <c r="K55" i="65"/>
  <c r="F55" i="65"/>
  <c r="J26" i="65"/>
  <c r="C55" i="65"/>
  <c r="I55" i="65"/>
  <c r="H55" i="65"/>
  <c r="L55" i="65"/>
  <c r="J55" i="65"/>
  <c r="M55" i="65"/>
  <c r="H30" i="53"/>
  <c r="E44" i="71"/>
  <c r="B26" i="71"/>
  <c r="H36" i="45"/>
  <c r="G12" i="42"/>
  <c r="G10" i="42"/>
  <c r="G11" i="42"/>
  <c r="G9" i="42"/>
  <c r="G8" i="42"/>
  <c r="M47" i="65"/>
  <c r="I47" i="65"/>
  <c r="L47" i="65"/>
  <c r="F116" i="48"/>
  <c r="H47" i="65"/>
  <c r="J47" i="65"/>
  <c r="K47" i="65"/>
  <c r="E86" i="80"/>
  <c r="E78" i="80" s="1"/>
  <c r="E16" i="80" s="1"/>
  <c r="E9" i="80" s="1"/>
  <c r="E14" i="80" s="1"/>
  <c r="F9" i="77" s="1"/>
  <c r="E88" i="48"/>
  <c r="H29" i="46"/>
  <c r="H28" i="45"/>
  <c r="E92" i="48"/>
  <c r="G10" i="40"/>
  <c r="G9" i="40"/>
  <c r="G12" i="40"/>
  <c r="G11" i="40"/>
  <c r="G8" i="40"/>
  <c r="H36" i="54"/>
  <c r="H7" i="53"/>
  <c r="H37" i="53" s="1"/>
  <c r="J44" i="72"/>
  <c r="F44" i="72"/>
  <c r="B44" i="72"/>
  <c r="I44" i="72"/>
  <c r="C44" i="72"/>
  <c r="K44" i="72"/>
  <c r="L44" i="72"/>
  <c r="E44" i="72"/>
  <c r="M44" i="72"/>
  <c r="G44" i="72"/>
  <c r="D44" i="72"/>
  <c r="H44" i="72"/>
  <c r="H6" i="45"/>
  <c r="G89" i="81"/>
  <c r="G81" i="81" s="1"/>
  <c r="G17" i="81" s="1"/>
  <c r="G10" i="81" s="1"/>
  <c r="G15" i="81" s="1"/>
  <c r="E94" i="81"/>
  <c r="E89" i="81" s="1"/>
  <c r="E81" i="81" s="1"/>
  <c r="G9" i="70"/>
  <c r="G11" i="70"/>
  <c r="G10" i="70"/>
  <c r="G12" i="70"/>
  <c r="G8" i="70"/>
  <c r="B26" i="61"/>
  <c r="H7" i="46"/>
  <c r="H37" i="46" s="1"/>
  <c r="M48" i="72"/>
  <c r="H26" i="72"/>
  <c r="F48" i="72"/>
  <c r="K48" i="72"/>
  <c r="I48" i="72"/>
  <c r="L48" i="72"/>
  <c r="J48" i="72"/>
  <c r="B48" i="72"/>
  <c r="D48" i="72"/>
  <c r="E48" i="72"/>
  <c r="H48" i="72"/>
  <c r="C48" i="72"/>
  <c r="G48" i="72"/>
  <c r="F12" i="35"/>
  <c r="E10" i="35"/>
  <c r="M26" i="64" l="1"/>
  <c r="G26" i="63"/>
  <c r="I26" i="63"/>
  <c r="D26" i="63"/>
  <c r="E23" i="64"/>
  <c r="K26" i="63"/>
  <c r="M26" i="63"/>
  <c r="I26" i="64"/>
  <c r="E23" i="63"/>
  <c r="G26" i="64"/>
  <c r="E26" i="63"/>
  <c r="K26" i="64"/>
  <c r="E26" i="64"/>
  <c r="G7" i="70"/>
  <c r="G25" i="70" s="1"/>
  <c r="H9" i="70" s="1"/>
  <c r="H8" i="70"/>
  <c r="F10" i="77"/>
  <c r="I8" i="77" s="1"/>
  <c r="I10" i="77" s="1"/>
  <c r="L8" i="77" s="1"/>
  <c r="L10" i="77" s="1"/>
  <c r="O8" i="77" s="1"/>
  <c r="O10" i="77" s="1"/>
  <c r="R8" i="77" s="1"/>
  <c r="R10" i="77" s="1"/>
  <c r="R11" i="77" s="1"/>
  <c r="F14" i="77"/>
  <c r="B9" i="77"/>
  <c r="C59" i="65"/>
  <c r="E59" i="65"/>
  <c r="G59" i="65"/>
  <c r="H59" i="65"/>
  <c r="I59" i="65"/>
  <c r="D59" i="65"/>
  <c r="L59" i="65"/>
  <c r="B59" i="65"/>
  <c r="K59" i="65"/>
  <c r="F59" i="65"/>
  <c r="M59" i="65"/>
  <c r="L26" i="65"/>
  <c r="I116" i="48"/>
  <c r="I115" i="48" s="1"/>
  <c r="I113" i="48" s="1"/>
  <c r="J59" i="65"/>
  <c r="G7" i="42"/>
  <c r="G25" i="42" s="1"/>
  <c r="H8" i="42"/>
  <c r="M52" i="72"/>
  <c r="J26" i="72"/>
  <c r="L52" i="72"/>
  <c r="E52" i="72"/>
  <c r="G52" i="72"/>
  <c r="F52" i="72"/>
  <c r="I52" i="72"/>
  <c r="K52" i="72"/>
  <c r="C52" i="72"/>
  <c r="B52" i="72"/>
  <c r="J52" i="72"/>
  <c r="D52" i="72"/>
  <c r="H52" i="72"/>
  <c r="H9" i="42"/>
  <c r="E17" i="81"/>
  <c r="E10" i="81" s="1"/>
  <c r="E15" i="81" s="1"/>
  <c r="E24" i="50"/>
  <c r="E16" i="50" s="1"/>
  <c r="E9" i="50" s="1"/>
  <c r="H43" i="45"/>
  <c r="G7" i="40"/>
  <c r="G25" i="40" s="1"/>
  <c r="H12" i="40" s="1"/>
  <c r="H8" i="40"/>
  <c r="F115" i="48"/>
  <c r="F113" i="48" s="1"/>
  <c r="F31" i="35"/>
  <c r="F10" i="35"/>
  <c r="E8" i="35"/>
  <c r="F8" i="35" s="1"/>
  <c r="H11" i="40" l="1"/>
  <c r="H11" i="42"/>
  <c r="F26" i="41"/>
  <c r="G20" i="48"/>
  <c r="G19" i="48" s="1"/>
  <c r="G17" i="48" s="1"/>
  <c r="D26" i="41"/>
  <c r="F20" i="48"/>
  <c r="H19" i="42"/>
  <c r="H18" i="42"/>
  <c r="H21" i="42"/>
  <c r="H23" i="42"/>
  <c r="H24" i="42"/>
  <c r="H22" i="42"/>
  <c r="H20" i="42"/>
  <c r="H10" i="40"/>
  <c r="H21" i="70"/>
  <c r="H19" i="70"/>
  <c r="H20" i="70"/>
  <c r="H18" i="70"/>
  <c r="H22" i="70"/>
  <c r="H24" i="70"/>
  <c r="D26" i="69"/>
  <c r="H23" i="70"/>
  <c r="H10" i="42"/>
  <c r="F15" i="77"/>
  <c r="I13" i="77" s="1"/>
  <c r="I15" i="77" s="1"/>
  <c r="L13" i="77" s="1"/>
  <c r="L15" i="77" s="1"/>
  <c r="O13" i="77" s="1"/>
  <c r="O15" i="77" s="1"/>
  <c r="R13" i="77" s="1"/>
  <c r="R15" i="77" s="1"/>
  <c r="R16" i="77" s="1"/>
  <c r="B14" i="77"/>
  <c r="C47" i="63"/>
  <c r="K47" i="63"/>
  <c r="F47" i="63"/>
  <c r="F26" i="63"/>
  <c r="D47" i="63"/>
  <c r="L47" i="63"/>
  <c r="B47" i="63"/>
  <c r="J47" i="63"/>
  <c r="E47" i="63"/>
  <c r="M47" i="63"/>
  <c r="F90" i="48"/>
  <c r="G47" i="63"/>
  <c r="H47" i="63"/>
  <c r="I47" i="63"/>
  <c r="H7" i="70"/>
  <c r="H10" i="70"/>
  <c r="H7" i="42"/>
  <c r="H9" i="40"/>
  <c r="H7" i="40" s="1"/>
  <c r="H18" i="40"/>
  <c r="H22" i="40"/>
  <c r="H21" i="40"/>
  <c r="H23" i="40"/>
  <c r="H19" i="40"/>
  <c r="H20" i="40"/>
  <c r="D27" i="37"/>
  <c r="H24" i="40"/>
  <c r="L26" i="72"/>
  <c r="J56" i="72"/>
  <c r="F56" i="72"/>
  <c r="M56" i="72"/>
  <c r="B56" i="72"/>
  <c r="E56" i="72"/>
  <c r="K56" i="72"/>
  <c r="D56" i="72"/>
  <c r="H56" i="72"/>
  <c r="L56" i="72"/>
  <c r="C56" i="72"/>
  <c r="I56" i="72"/>
  <c r="G56" i="72"/>
  <c r="H12" i="42"/>
  <c r="H12" i="70"/>
  <c r="H11" i="70"/>
  <c r="K63" i="65"/>
  <c r="C63" i="65"/>
  <c r="J63" i="65"/>
  <c r="H63" i="65"/>
  <c r="B63" i="65"/>
  <c r="M63" i="65"/>
  <c r="J116" i="48"/>
  <c r="F63" i="65"/>
  <c r="D63" i="65"/>
  <c r="I63" i="65"/>
  <c r="G63" i="65"/>
  <c r="E63" i="65"/>
  <c r="L63" i="65"/>
  <c r="B26" i="65"/>
  <c r="F32" i="35"/>
  <c r="F33" i="35" s="1"/>
  <c r="F34" i="35" s="1"/>
  <c r="F35" i="35" s="1"/>
  <c r="H27" i="37"/>
  <c r="H57" i="48" s="1"/>
  <c r="F19" i="48" l="1"/>
  <c r="F17" i="48" s="1"/>
  <c r="E20" i="48"/>
  <c r="E19" i="48" s="1"/>
  <c r="E17" i="48" s="1"/>
  <c r="J60" i="72"/>
  <c r="B60" i="72"/>
  <c r="M60" i="72"/>
  <c r="G60" i="72"/>
  <c r="K60" i="72"/>
  <c r="E60" i="72"/>
  <c r="F60" i="72"/>
  <c r="C60" i="72"/>
  <c r="L60" i="72"/>
  <c r="D60" i="72"/>
  <c r="H60" i="72"/>
  <c r="I60" i="72"/>
  <c r="H17" i="40"/>
  <c r="H25" i="40" s="1"/>
  <c r="F51" i="63"/>
  <c r="B51" i="63"/>
  <c r="I51" i="63"/>
  <c r="G51" i="63"/>
  <c r="G90" i="48"/>
  <c r="H51" i="63"/>
  <c r="J51" i="63"/>
  <c r="M51" i="63"/>
  <c r="C51" i="63"/>
  <c r="K51" i="63"/>
  <c r="H26" i="63"/>
  <c r="D51" i="63"/>
  <c r="L51" i="63"/>
  <c r="E51" i="63"/>
  <c r="B26" i="69"/>
  <c r="H44" i="69"/>
  <c r="F44" i="69"/>
  <c r="G44" i="69"/>
  <c r="F128" i="48"/>
  <c r="L44" i="41"/>
  <c r="M44" i="41"/>
  <c r="H44" i="41"/>
  <c r="J44" i="41"/>
  <c r="K44" i="41"/>
  <c r="I44" i="41"/>
  <c r="B26" i="41"/>
  <c r="H17" i="70"/>
  <c r="F57" i="48"/>
  <c r="F56" i="48" s="1"/>
  <c r="G48" i="37"/>
  <c r="D48" i="37"/>
  <c r="F48" i="37"/>
  <c r="C48" i="37"/>
  <c r="E48" i="37"/>
  <c r="B48" i="37"/>
  <c r="J48" i="41"/>
  <c r="C48" i="41"/>
  <c r="K48" i="41"/>
  <c r="L48" i="41"/>
  <c r="E48" i="41"/>
  <c r="M48" i="41"/>
  <c r="H48" i="41"/>
  <c r="I48" i="41"/>
  <c r="D48" i="41"/>
  <c r="F48" i="41"/>
  <c r="B48" i="41"/>
  <c r="G48" i="41"/>
  <c r="F133" i="48"/>
  <c r="F87" i="48"/>
  <c r="F79" i="48" s="1"/>
  <c r="J115" i="48"/>
  <c r="J113" i="48" s="1"/>
  <c r="E116" i="48"/>
  <c r="E115" i="48" s="1"/>
  <c r="E113" i="48" s="1"/>
  <c r="B26" i="72"/>
  <c r="H25" i="70"/>
  <c r="H17" i="42"/>
  <c r="H25" i="42" s="1"/>
  <c r="F36" i="35"/>
  <c r="H56" i="48"/>
  <c r="E57" i="48"/>
  <c r="E56" i="48" s="1"/>
  <c r="B27" i="37"/>
  <c r="I56" i="37"/>
  <c r="M56" i="37"/>
  <c r="J56" i="37"/>
  <c r="H56" i="37"/>
  <c r="K56" i="37"/>
  <c r="L56" i="37"/>
  <c r="E131" i="48"/>
  <c r="F165" i="48" l="1"/>
  <c r="F129" i="48"/>
  <c r="G133" i="48"/>
  <c r="G87" i="48"/>
  <c r="G79" i="48" s="1"/>
  <c r="G16" i="48" s="1"/>
  <c r="G9" i="48" s="1"/>
  <c r="E128" i="48"/>
  <c r="E127" i="48" s="1"/>
  <c r="F127" i="48"/>
  <c r="F125" i="48" s="1"/>
  <c r="J55" i="63"/>
  <c r="E55" i="63"/>
  <c r="F55" i="63"/>
  <c r="I55" i="63"/>
  <c r="H90" i="48"/>
  <c r="C55" i="63"/>
  <c r="K55" i="63"/>
  <c r="M55" i="63"/>
  <c r="D55" i="63"/>
  <c r="L55" i="63"/>
  <c r="J26" i="63"/>
  <c r="B55" i="63"/>
  <c r="G55" i="63"/>
  <c r="H55" i="63"/>
  <c r="F16" i="48"/>
  <c r="F9" i="48" s="1"/>
  <c r="H133" i="48" l="1"/>
  <c r="H87" i="48"/>
  <c r="H79" i="48" s="1"/>
  <c r="H16" i="48" s="1"/>
  <c r="H9" i="48" s="1"/>
  <c r="G165" i="48"/>
  <c r="G163" i="48" s="1"/>
  <c r="G157" i="48" s="1"/>
  <c r="G129" i="48"/>
  <c r="G125" i="48" s="1"/>
  <c r="I90" i="48"/>
  <c r="F59" i="63"/>
  <c r="B59" i="63"/>
  <c r="E59" i="63"/>
  <c r="G59" i="63"/>
  <c r="L26" i="63"/>
  <c r="H59" i="63"/>
  <c r="I59" i="63"/>
  <c r="J59" i="63"/>
  <c r="M59" i="63"/>
  <c r="C59" i="63"/>
  <c r="K59" i="63"/>
  <c r="D59" i="63"/>
  <c r="L59" i="63"/>
  <c r="F163" i="48"/>
  <c r="F157" i="48" s="1"/>
  <c r="F124" i="48" s="1"/>
  <c r="F10" i="48" s="1"/>
  <c r="F14" i="48" s="1"/>
  <c r="E29" i="50"/>
  <c r="E10" i="50" s="1"/>
  <c r="E14" i="50" s="1"/>
  <c r="E90" i="48" l="1"/>
  <c r="E87" i="48" s="1"/>
  <c r="E79" i="48" s="1"/>
  <c r="E16" i="48" s="1"/>
  <c r="E9" i="48" s="1"/>
  <c r="G124" i="48"/>
  <c r="G10" i="48" s="1"/>
  <c r="G14" i="48" s="1"/>
  <c r="I133" i="48"/>
  <c r="I87" i="48"/>
  <c r="I79" i="48" s="1"/>
  <c r="I16" i="48" s="1"/>
  <c r="I9" i="48" s="1"/>
  <c r="B63" i="63"/>
  <c r="J63" i="63"/>
  <c r="M63" i="63"/>
  <c r="J90" i="48"/>
  <c r="F63" i="63"/>
  <c r="C63" i="63"/>
  <c r="G63" i="63"/>
  <c r="H63" i="63"/>
  <c r="L63" i="63"/>
  <c r="E63" i="63"/>
  <c r="I63" i="63"/>
  <c r="K63" i="63"/>
  <c r="D63" i="63"/>
  <c r="B26" i="63"/>
  <c r="H165" i="48"/>
  <c r="H129" i="48"/>
  <c r="H125" i="48" s="1"/>
  <c r="F16" i="50"/>
  <c r="F9" i="50" s="1"/>
  <c r="F31" i="50"/>
  <c r="F21" i="50"/>
  <c r="F32" i="50"/>
  <c r="F22" i="50"/>
  <c r="F25" i="50"/>
  <c r="F24" i="50"/>
  <c r="F19" i="50"/>
  <c r="F35" i="50"/>
  <c r="F34" i="50" s="1"/>
  <c r="F11" i="50" s="1"/>
  <c r="F27" i="50"/>
  <c r="F18" i="50"/>
  <c r="F20" i="50"/>
  <c r="F38" i="50"/>
  <c r="F39" i="50"/>
  <c r="F26" i="50"/>
  <c r="F17" i="50"/>
  <c r="F23" i="50"/>
  <c r="F30" i="50"/>
  <c r="J133" i="48" l="1"/>
  <c r="J87" i="48"/>
  <c r="J79" i="48" s="1"/>
  <c r="J16" i="48" s="1"/>
  <c r="J9" i="48" s="1"/>
  <c r="I165" i="48"/>
  <c r="I163" i="48" s="1"/>
  <c r="I157" i="48" s="1"/>
  <c r="I129" i="48"/>
  <c r="I125" i="48" s="1"/>
  <c r="E133" i="48"/>
  <c r="E129" i="48" s="1"/>
  <c r="E125" i="48" s="1"/>
  <c r="H163" i="48"/>
  <c r="H157" i="48" s="1"/>
  <c r="H124" i="48" s="1"/>
  <c r="H10" i="48" s="1"/>
  <c r="H14" i="48" s="1"/>
  <c r="F29" i="50"/>
  <c r="F10" i="50" s="1"/>
  <c r="F37" i="50"/>
  <c r="F12" i="50" s="1"/>
  <c r="I124" i="48" l="1"/>
  <c r="I10" i="48" s="1"/>
  <c r="I14" i="48" s="1"/>
  <c r="J165" i="48"/>
  <c r="J129" i="48"/>
  <c r="J125" i="48" s="1"/>
  <c r="F14" i="50"/>
  <c r="J124" i="48" l="1"/>
  <c r="J10" i="48" s="1"/>
  <c r="J14" i="48" s="1"/>
  <c r="J163" i="48"/>
  <c r="J157" i="48" s="1"/>
  <c r="E165" i="48"/>
  <c r="E163" i="48" s="1"/>
  <c r="E157" i="48" s="1"/>
  <c r="E124" i="48" s="1"/>
  <c r="E10" i="48" s="1"/>
  <c r="E14" i="48" s="1"/>
</calcChain>
</file>

<file path=xl/sharedStrings.xml><?xml version="1.0" encoding="utf-8"?>
<sst xmlns="http://schemas.openxmlformats.org/spreadsheetml/2006/main" count="4381" uniqueCount="966">
  <si>
    <t>OBSERVAÇÃO</t>
  </si>
  <si>
    <t>TOTAL</t>
  </si>
  <si>
    <t>%</t>
  </si>
  <si>
    <t>Nº</t>
  </si>
  <si>
    <t>ESPECIFICAÇÃO</t>
  </si>
  <si>
    <t>Vale transporte</t>
  </si>
  <si>
    <t>CÁLCULO DOS ENCARGOS SOCIAIS</t>
  </si>
  <si>
    <t>GRUPO 2.1 - ENCARGOS SOCIAIS SOBRE A FOLHA DE PAGAMENTO</t>
  </si>
  <si>
    <t>Instituto Nacional de Securidade Social - INSS</t>
  </si>
  <si>
    <t>Fundo de Garantia por Tempo de Serviço - FGTS</t>
  </si>
  <si>
    <t>Serviço Social do Comércio - SESC</t>
  </si>
  <si>
    <t>Serviço Nacional do Aprendizado do Comércio - SENAC</t>
  </si>
  <si>
    <t>Salário Educação</t>
  </si>
  <si>
    <t>Serviço de Apoio a Pequena e Média Empresa - SEBRAE</t>
  </si>
  <si>
    <t>Instituto Nacional de Colonização e Reforma Agrária - INCRA</t>
  </si>
  <si>
    <t>Seguro contra os Riscos de Acidente de Trabalho</t>
  </si>
  <si>
    <t xml:space="preserve">GRUPO 2.2 - DIAS NÃO TRABALHADOS </t>
  </si>
  <si>
    <t xml:space="preserve">Férias anuais </t>
  </si>
  <si>
    <t>Faltas justificadas</t>
  </si>
  <si>
    <t>Auxílio enfermidade</t>
  </si>
  <si>
    <t>Aviso prévio trabalhado</t>
  </si>
  <si>
    <t>Licença paternidade</t>
  </si>
  <si>
    <t>Cursos</t>
  </si>
  <si>
    <t xml:space="preserve">GRUPO 2.3 - ENCARGOS DE DEMISSÃO </t>
  </si>
  <si>
    <t>Aviso prévio indenizado</t>
  </si>
  <si>
    <t>Empregados demitidos</t>
  </si>
  <si>
    <t>Permanência média na empresa</t>
  </si>
  <si>
    <t>meses</t>
  </si>
  <si>
    <t>Multa sobre FGTS acumulado no período)</t>
  </si>
  <si>
    <t>Correção anual do FGTS</t>
  </si>
  <si>
    <t>Correção mensal do FGTS</t>
  </si>
  <si>
    <t>Depósito por rescisão sem justa causa</t>
  </si>
  <si>
    <t>% mensal paga pelo empregador para o FGTS</t>
  </si>
  <si>
    <t>Contribuição mensal FGTS</t>
  </si>
  <si>
    <t>Contribuição sobre 13º</t>
  </si>
  <si>
    <t>Valor acumulado corrigido</t>
  </si>
  <si>
    <t xml:space="preserve">GRUPO 2.4 - ABONOS LEGAIS </t>
  </si>
  <si>
    <t>13º salário</t>
  </si>
  <si>
    <t>Abono de férias (1/3) sobre férias</t>
  </si>
  <si>
    <t>GRUPO 2.5 - REINCIDÊNCIAS</t>
  </si>
  <si>
    <t>Grupo 2.1 x Grupo 2.2</t>
  </si>
  <si>
    <t>Grupo 2.1 x Grupo 2.4</t>
  </si>
  <si>
    <t>TOTAL DE ENCARGOS SOCIAIS</t>
  </si>
  <si>
    <t>CÁLCULO DOS BENEFÍCIOS</t>
  </si>
  <si>
    <t>AUXÍLIO ALIMENTAÇÃO</t>
  </si>
  <si>
    <t>Auxílio alimentação</t>
  </si>
  <si>
    <t>% dos colaboradores que recebem auxílio alimentação</t>
  </si>
  <si>
    <t>Valor do auxílio alimentação (R$)</t>
  </si>
  <si>
    <t>reais</t>
  </si>
  <si>
    <t>Parcela subsidiada pela empresa</t>
  </si>
  <si>
    <t>Número média de dias úteis mês</t>
  </si>
  <si>
    <t>dias</t>
  </si>
  <si>
    <t>Salário médio dos colaboradores</t>
  </si>
  <si>
    <t>% sobre o salário</t>
  </si>
  <si>
    <t>VALE TRANSPORTE</t>
  </si>
  <si>
    <t>% dos colaboradores que recebem vale transporte</t>
  </si>
  <si>
    <t xml:space="preserve">Salário médio do colaborador que recebe </t>
  </si>
  <si>
    <t>Valor médio diário do vale transporte (R$)</t>
  </si>
  <si>
    <t>% de desconto do vale transporte do colaborador</t>
  </si>
  <si>
    <t>Desconto do colaborador (salário*6%)</t>
  </si>
  <si>
    <t>Custo da empresa com vale transporte</t>
  </si>
  <si>
    <t>ASSISTÊNCIA MÉDICA</t>
  </si>
  <si>
    <t>Número de colaboradores</t>
  </si>
  <si>
    <t>unidade</t>
  </si>
  <si>
    <t>Valor médio de cada colaborador</t>
  </si>
  <si>
    <t>Salário total dos colaboradores</t>
  </si>
  <si>
    <t>TOTAL DE BENEFÍCIOS</t>
  </si>
  <si>
    <t>TOTAL DE ENCARGOS SOCIAIS E BENEFÍCIOS</t>
  </si>
  <si>
    <t>DADOS</t>
  </si>
  <si>
    <t>UNIDADE</t>
  </si>
  <si>
    <t>NÚMERO MÉDIO DE DIAS IMPRODUTIVOS</t>
  </si>
  <si>
    <t>1.1</t>
  </si>
  <si>
    <t>Número de dias no ano:</t>
  </si>
  <si>
    <t>Definido</t>
  </si>
  <si>
    <t>1.2</t>
  </si>
  <si>
    <t>Número de dias na semana:</t>
  </si>
  <si>
    <t>1.3</t>
  </si>
  <si>
    <t>Número de sábado e domingo na semana:</t>
  </si>
  <si>
    <t>1.4</t>
  </si>
  <si>
    <t>Número de semanas no ano:</t>
  </si>
  <si>
    <t>semanas</t>
  </si>
  <si>
    <t>Calculado</t>
  </si>
  <si>
    <t>(1.1/1.2)</t>
  </si>
  <si>
    <t>1.5</t>
  </si>
  <si>
    <t>Número de sábados e domingos no ano:</t>
  </si>
  <si>
    <t>(1.3 x 1.4)</t>
  </si>
  <si>
    <t>1.6</t>
  </si>
  <si>
    <t>1.7</t>
  </si>
  <si>
    <t>Dias improdutivos no ano:</t>
  </si>
  <si>
    <t>(1.5 + 1.6)</t>
  </si>
  <si>
    <t>NÚMERO DE HORAS TRABALHADAS PELA EMPRESA</t>
  </si>
  <si>
    <t>2.1</t>
  </si>
  <si>
    <t>Total de dias trabalhados por ano:</t>
  </si>
  <si>
    <t>(1.1 - 1.7)</t>
  </si>
  <si>
    <t>2.2</t>
  </si>
  <si>
    <t>Jornada diária de trabalho:</t>
  </si>
  <si>
    <t>horas</t>
  </si>
  <si>
    <t>Acordo coletivo</t>
  </si>
  <si>
    <t>2.3</t>
  </si>
  <si>
    <t>Número de horas trabalhadas por ano:</t>
  </si>
  <si>
    <t>(2.1 x 2.2)</t>
  </si>
  <si>
    <t>2.4</t>
  </si>
  <si>
    <t>Número de meses no ano:</t>
  </si>
  <si>
    <t>2.5</t>
  </si>
  <si>
    <t>Número médio de horas trabalhadas pela empresa no mês</t>
  </si>
  <si>
    <t>(2.3 / 2.4)</t>
  </si>
  <si>
    <t>NÚMERO DE HORAS IMPRODUTIVAS DO EMPREGADO</t>
  </si>
  <si>
    <t>horas/ano</t>
  </si>
  <si>
    <t>(3.1 + 3.2 + 3.3 + 3.4 + 3.5)</t>
  </si>
  <si>
    <t>3.1</t>
  </si>
  <si>
    <t>Número de horas - Férias</t>
  </si>
  <si>
    <t>3.1.1</t>
  </si>
  <si>
    <t>Número de dias de férias</t>
  </si>
  <si>
    <t xml:space="preserve">dias </t>
  </si>
  <si>
    <t>3.2</t>
  </si>
  <si>
    <t>Número de horas - Faltas justificadas</t>
  </si>
  <si>
    <t>(3.2.1 x 2.2)</t>
  </si>
  <si>
    <t>3.2.1</t>
  </si>
  <si>
    <t>Número de dias de faltas justificadas por ano:</t>
  </si>
  <si>
    <t>3.3</t>
  </si>
  <si>
    <t>Número de horas  - Auxílio enfermidade</t>
  </si>
  <si>
    <t>((2.2 x (3.3.2 - 3.3.3)) x (3.3.1 / 100)</t>
  </si>
  <si>
    <t>3.3.1</t>
  </si>
  <si>
    <t>% de funcionários que recorrem ao auxílio enfermidade:</t>
  </si>
  <si>
    <t>3.3.2</t>
  </si>
  <si>
    <t>Número de dias no auxílio enfermidade:</t>
  </si>
  <si>
    <t>3.3.3</t>
  </si>
  <si>
    <t>Número de sábados e domingos no auxílio enfermidade:</t>
  </si>
  <si>
    <t>((3.3.1 / 1.2) x 1.3))</t>
  </si>
  <si>
    <t>3.4</t>
  </si>
  <si>
    <t>Número de horas - Aviso prévio</t>
  </si>
  <si>
    <t>3.4.1 x 2.2 x (3.4.3/100) x (3.4.4/100) x (3.4.2/2.4)</t>
  </si>
  <si>
    <t>3.4.1</t>
  </si>
  <si>
    <t>Dias úteis dispensado do aviso prévio trabalhado:</t>
  </si>
  <si>
    <t>(1.2 - 1.3)</t>
  </si>
  <si>
    <t>(trabalha 1 semana a menos)</t>
  </si>
  <si>
    <t>3.4.2</t>
  </si>
  <si>
    <t>Permanência média dos funcionários na empresa:</t>
  </si>
  <si>
    <t>3.4.3</t>
  </si>
  <si>
    <t>% de empregados que são demitidos:</t>
  </si>
  <si>
    <t>3.4.4</t>
  </si>
  <si>
    <t>% de empregados que cumprem o aviso prévio:</t>
  </si>
  <si>
    <t>3.5</t>
  </si>
  <si>
    <t>Número de horas - Licença Paternidade</t>
  </si>
  <si>
    <t>(3.5.1 x 2.2 x (3.5.2/100) x (3.5.3/100)</t>
  </si>
  <si>
    <t>3.5.1</t>
  </si>
  <si>
    <t>Dias de licença paternidade:</t>
  </si>
  <si>
    <t>3.5.2</t>
  </si>
  <si>
    <t>% de empregados do sexo masculino:</t>
  </si>
  <si>
    <t>3.5.3</t>
  </si>
  <si>
    <t>% dos empregados que recorrem a licença:</t>
  </si>
  <si>
    <t xml:space="preserve">NÚMERO DE HORAS DE CURSOS </t>
  </si>
  <si>
    <t>THIA</t>
  </si>
  <si>
    <t>NÚMERO TOTAL DE HORAS IMPRODUTIVAS:</t>
  </si>
  <si>
    <t>(3 + 4)</t>
  </si>
  <si>
    <t>THTA</t>
  </si>
  <si>
    <t>NÚMERO TOTAL DE HORAS TRABALHADAS PELO EMPREGADO:</t>
  </si>
  <si>
    <t>(2.3 - THIA)</t>
  </si>
  <si>
    <t>THTM</t>
  </si>
  <si>
    <t>NÚMERO DE HORAS PRODUTIVAS DO EMPREGADO POR MÊS:</t>
  </si>
  <si>
    <t>horas/mês</t>
  </si>
  <si>
    <t>(THTA/2.4)</t>
  </si>
  <si>
    <t>% dos colaboradores que recebem  assistência médica</t>
  </si>
  <si>
    <t>Prazo concedido 15 dias - auxílio enfermidade</t>
  </si>
  <si>
    <t>Número de feriados por ano em dias úteis:</t>
  </si>
  <si>
    <t>ESCOLA DE PROJETOS</t>
  </si>
  <si>
    <t>A</t>
  </si>
  <si>
    <t>ATIVIDADE FIM</t>
  </si>
  <si>
    <t>Encargos sociais e benefícios:</t>
  </si>
  <si>
    <t>Custo unitário</t>
  </si>
  <si>
    <t>Quantidade</t>
  </si>
  <si>
    <t>Custo Mensal</t>
  </si>
  <si>
    <t>Custo Anual</t>
  </si>
  <si>
    <t>R$</t>
  </si>
  <si>
    <t>A1</t>
  </si>
  <si>
    <t>Recursos humanos</t>
  </si>
  <si>
    <t>Pessoal atividade fim</t>
  </si>
  <si>
    <t>Engenheiro Civil</t>
  </si>
  <si>
    <t>Salário¹</t>
  </si>
  <si>
    <t>Valor salário AGEVAP com reajuste de 4,61 para o ano de 2019.</t>
  </si>
  <si>
    <t>Encargos sociais + benefícios²</t>
  </si>
  <si>
    <t>Valor encargo social - orçamento AGEVAP (88,53 - com o vale alimentação reajustado de 18,32 para 19,12).</t>
  </si>
  <si>
    <t>Engenheiro Florestal/Ambiental/Agrõnomo</t>
  </si>
  <si>
    <t>Engenheiro Hídrico</t>
  </si>
  <si>
    <t>Estagiários Técnicos</t>
  </si>
  <si>
    <t>Valor aplicado em Resende/RJ, encaminhado pelo setor administrativo da AGEVAP com reajuste.</t>
  </si>
  <si>
    <t>Valor contrato CIEE 2018 com reajuste.</t>
  </si>
  <si>
    <t>A2</t>
  </si>
  <si>
    <r>
      <t xml:space="preserve">Despesas operacionais </t>
    </r>
    <r>
      <rPr>
        <b/>
        <vertAlign val="superscript"/>
        <sz val="10"/>
        <color theme="1"/>
        <rFont val="Arial"/>
        <family val="2"/>
      </rPr>
      <t>4</t>
    </r>
  </si>
  <si>
    <t>Valor anual das 4 Uds</t>
  </si>
  <si>
    <t>FINALIDADE</t>
  </si>
  <si>
    <t>GESTÃO DE RECURSOS HÍDRICOS</t>
  </si>
  <si>
    <t>PROGRAMA</t>
  </si>
  <si>
    <t>AÇÃO</t>
  </si>
  <si>
    <t>1.1.1</t>
  </si>
  <si>
    <t>Nome da ação</t>
  </si>
  <si>
    <t>1.1.2</t>
  </si>
  <si>
    <t>Elaboração do Manual Operativo do Plano de Recursos Hídricos (MOP)</t>
  </si>
  <si>
    <t>1.1.3</t>
  </si>
  <si>
    <t>Acompanhamento e monitoramento da implementação do Plano de Recursos Hídricos (PRH)</t>
  </si>
  <si>
    <t>1.5.1</t>
  </si>
  <si>
    <t>1.5.2</t>
  </si>
  <si>
    <r>
      <rPr>
        <vertAlign val="superscript"/>
        <sz val="10"/>
        <color theme="1"/>
        <rFont val="Arial"/>
        <family val="2"/>
      </rPr>
      <t>4</t>
    </r>
    <r>
      <rPr>
        <sz val="10"/>
        <color theme="1"/>
        <rFont val="Arial"/>
        <family val="2"/>
      </rPr>
      <t xml:space="preserve"> Valor de despesas operacionais da UD conforme Contrato de Gestão nº 01/2010/INEA </t>
    </r>
  </si>
  <si>
    <r>
      <t>Bolsa Auxílio</t>
    </r>
    <r>
      <rPr>
        <vertAlign val="superscript"/>
        <sz val="10"/>
        <color theme="1"/>
        <rFont val="Arial"/>
        <family val="2"/>
      </rPr>
      <t>1</t>
    </r>
  </si>
  <si>
    <r>
      <rPr>
        <vertAlign val="superscript"/>
        <sz val="10"/>
        <color theme="1"/>
        <rFont val="Arial"/>
        <family val="2"/>
      </rPr>
      <t>1</t>
    </r>
    <r>
      <rPr>
        <sz val="10"/>
        <color theme="1"/>
        <rFont val="Arial"/>
        <family val="2"/>
      </rPr>
      <t xml:space="preserve"> Valor do salário mínimo do ano de 2020</t>
    </r>
  </si>
  <si>
    <r>
      <t>Auxílio Transporte</t>
    </r>
    <r>
      <rPr>
        <vertAlign val="superscript"/>
        <sz val="10"/>
        <color theme="1"/>
        <rFont val="Arial"/>
        <family val="2"/>
      </rPr>
      <t xml:space="preserve"> 2</t>
    </r>
  </si>
  <si>
    <r>
      <rPr>
        <vertAlign val="superscript"/>
        <sz val="10"/>
        <color theme="1"/>
        <rFont val="Arial"/>
        <family val="2"/>
      </rPr>
      <t xml:space="preserve">2 </t>
    </r>
    <r>
      <rPr>
        <sz val="10"/>
        <color theme="1"/>
        <rFont val="Arial"/>
        <family val="2"/>
      </rPr>
      <t>Valor aplicado em Resende/RJ, encaminhado pelo setor administrativo da AGEVAP com reajuste.</t>
    </r>
  </si>
  <si>
    <r>
      <t>Agente de integração</t>
    </r>
    <r>
      <rPr>
        <vertAlign val="superscript"/>
        <sz val="10"/>
        <color theme="1"/>
        <rFont val="Arial"/>
        <family val="2"/>
      </rPr>
      <t xml:space="preserve"> 3</t>
    </r>
  </si>
  <si>
    <r>
      <rPr>
        <vertAlign val="superscript"/>
        <sz val="10"/>
        <color theme="1"/>
        <rFont val="Arial"/>
        <family val="2"/>
      </rPr>
      <t xml:space="preserve">3 </t>
    </r>
    <r>
      <rPr>
        <sz val="10"/>
        <color theme="1"/>
        <rFont val="Arial"/>
        <family val="2"/>
      </rPr>
      <t>Valor do contrato com reajuste - CIEE 2020.</t>
    </r>
  </si>
  <si>
    <t>MEMÓRIA DE CÁLCULO - PAP 2021 a 2025</t>
  </si>
  <si>
    <t>Data:</t>
  </si>
  <si>
    <t>Descrição</t>
  </si>
  <si>
    <t>Remuneração (R$)</t>
  </si>
  <si>
    <t>Alocação</t>
  </si>
  <si>
    <t>Custo 
(R$)</t>
  </si>
  <si>
    <t>Preço Total       K1</t>
  </si>
  <si>
    <t>Peso %</t>
  </si>
  <si>
    <t>Mensal</t>
  </si>
  <si>
    <t>Horária</t>
  </si>
  <si>
    <t>Horas</t>
  </si>
  <si>
    <t>EQUIPE TÉCNICA PERMANENTE</t>
  </si>
  <si>
    <t>DNIT</t>
  </si>
  <si>
    <t>Preço Total      K2</t>
  </si>
  <si>
    <t>EQUIPE TÉCNICA DE CONSULTORES</t>
  </si>
  <si>
    <t>Unidade</t>
  </si>
  <si>
    <t>Custo total</t>
  </si>
  <si>
    <t>Preço Total      K4</t>
  </si>
  <si>
    <t>DESPESAS DIRETAS</t>
  </si>
  <si>
    <t>TOTAL GERAL</t>
  </si>
  <si>
    <t>DETALHAMENTO DO FATOR K</t>
  </si>
  <si>
    <t>ES - ENCARGOS SOCIAIS</t>
  </si>
  <si>
    <t>ESA - ENCARGOS SOCIAIS SOBRE RPA</t>
  </si>
  <si>
    <t>ARDF - ADMINISTRAÇÃO, RISCO E DESPESAS FINANCEIRAS</t>
  </si>
  <si>
    <t>L - LUCRO</t>
  </si>
  <si>
    <t>DFL - DESPESAS FISCAIS LEGAIS</t>
  </si>
  <si>
    <t>DFL=(PIS+COFINS+ISS)/(1-PIS+COFINS+ISS)</t>
  </si>
  <si>
    <t xml:space="preserve">PIS </t>
  </si>
  <si>
    <t>COFINS</t>
  </si>
  <si>
    <t>ISS</t>
  </si>
  <si>
    <t>K1</t>
  </si>
  <si>
    <t>K1 = [(1+ES+ARDF)*(1+L)*(1+DFL)]</t>
  </si>
  <si>
    <t>K2</t>
  </si>
  <si>
    <t>K2 = [(1+ESA+ARDF)*(1+L)*(1+DFL)]</t>
  </si>
  <si>
    <t>K3</t>
  </si>
  <si>
    <t>K3= [(1+ARDF)*(1+L)*(1+DFL)]</t>
  </si>
  <si>
    <t>K4</t>
  </si>
  <si>
    <t>K4 = [(1+L)*(1+DFL)]</t>
  </si>
  <si>
    <t>Observações:</t>
  </si>
  <si>
    <t>1-</t>
  </si>
  <si>
    <t>Os K's foram calculado através de fórmulas estabelecidas pelo Acórdão 1787/2011. Os parâmetros utilizados foram estabelecidos pela Nota Técnica Conjunta nº 01/2012/SIP/SAF da Agência Nacional de Águas.</t>
  </si>
  <si>
    <t>2-</t>
  </si>
  <si>
    <t>A remuneração mensal tem como base a Instrução de Serviço DG nº 03, de 07 de março de 2012 do DNIT - Tabela de preços de consultoria do DNIT. O valor da da remuneração horária é calculada pela divisão da remuneração mensal pelo número de horas fetivamente trabalhada.</t>
  </si>
  <si>
    <t>3-</t>
  </si>
  <si>
    <t>No valor do veículo já estão inclusos os valores de locação, gasolina e pedágio.</t>
  </si>
  <si>
    <t>Limpeza, deslocamento (aluguel de veículo, combustível, pedágio, táxi, transporte terrestre e aéreo), telefone (móvel e fixo) e internet, correio, despesas de pequena monta/material de consumo, manutenção escritório, móveis e equipamentos, diárias,  eventos (reuniões e outros)</t>
  </si>
  <si>
    <t>Coordenador do projeto</t>
  </si>
  <si>
    <t>Assistente administrativo</t>
  </si>
  <si>
    <t>Transientes Hidráulicos</t>
  </si>
  <si>
    <t>Proteção catódica</t>
  </si>
  <si>
    <t>Geotecnia e fundações</t>
  </si>
  <si>
    <t>Modelagem</t>
  </si>
  <si>
    <t>Segurança</t>
  </si>
  <si>
    <t>Profissional senior</t>
  </si>
  <si>
    <t>Profissional pleno</t>
  </si>
  <si>
    <t>Profissional junior</t>
  </si>
  <si>
    <t>MODELO ORÇAMENTO</t>
  </si>
  <si>
    <t>SERVIÇOS DE APOIO TÉCNICO</t>
  </si>
  <si>
    <t>Detecção eletromagnética de interferências</t>
  </si>
  <si>
    <t>Equipe de topografia - serviços planialtimétricos</t>
  </si>
  <si>
    <t>Ensaio de permeabilidade com carga constante</t>
  </si>
  <si>
    <t>Retirada de corpo de prova</t>
  </si>
  <si>
    <t>Medição de resistividade do solo</t>
  </si>
  <si>
    <t>Determinação da Demanda Bioquímica de Oxigênio - DBO</t>
  </si>
  <si>
    <t>m</t>
  </si>
  <si>
    <t>equipe x dia</t>
  </si>
  <si>
    <t>Execução de sondagem a percussão</t>
  </si>
  <si>
    <t>Locação de veículo</t>
  </si>
  <si>
    <t>mês</t>
  </si>
  <si>
    <t>Impressão de desenhos</t>
  </si>
  <si>
    <t xml:space="preserve">Cópia em preto e branco </t>
  </si>
  <si>
    <t>Locação de equipamentos</t>
  </si>
  <si>
    <t>Encadernações em pasta AZ</t>
  </si>
  <si>
    <t>Refeições</t>
  </si>
  <si>
    <t>Diárias</t>
  </si>
  <si>
    <t>m²</t>
  </si>
  <si>
    <t>REFERÊNCIA</t>
  </si>
  <si>
    <t>Realização de ações com vistas à implementação dos instrumentos de gestão e ao fortalecimento institucional do Sistema Nacional de Gerenciamento de Recursos Hídricos - SINGREH.</t>
  </si>
  <si>
    <t>Cobrança pelo uso dos recursos hídricos</t>
  </si>
  <si>
    <t>Promover o reconhecimento da água como bem econômico e dar ao usuário uma indicação de seu real valor, incentivar a racionalização do uso da água, e obter recursos financeiros para o financiamento dos programas e intervenções contemplados nos planos de recursos hídricos.</t>
  </si>
  <si>
    <t>Aplicação dos recursos arrecadados com a cobrança pelo uso dos recursos hídricos na bacia hidrográfica no financiamento de estudos, programas, projetos e obras incluídos nos Planos de Recursos Hídricos.</t>
  </si>
  <si>
    <t>Art. 19 a 22 da Lei nº 9.433, de 8 de janeiro de 1997.</t>
  </si>
  <si>
    <t>OBJETIVO DO PROGRAMA</t>
  </si>
  <si>
    <t>BASE LEGAL</t>
  </si>
  <si>
    <t>DESCRIÇÃO DO PROBLEMA</t>
  </si>
  <si>
    <t>CATEGORIA MACRO</t>
  </si>
  <si>
    <t>Estudos de fundamentação para a atualização dos valores e mecanismos da cobrança pelo uso dos recursos hídricos</t>
  </si>
  <si>
    <t>NOME DA AÇÃO NO PRH</t>
  </si>
  <si>
    <t>OBJETIVO DA AÇÃO</t>
  </si>
  <si>
    <t>Adequar os valores arrecadados com a cobrança pelo uso de recursos hídricos para suprir o financiamento de estudos, programas, projetos e obras incluídos no PRH e as despesas de custeio administrativo da entidade delegatária.</t>
  </si>
  <si>
    <t>DESCRIÇÃO DO OBJETO</t>
  </si>
  <si>
    <t>Proposição de mecanismos e valores de cobrança pelo uso de recursos hídricos na bacia hidrográfica.</t>
  </si>
  <si>
    <t>Art. 19 a 22 da Lei nº 9.433, de 8 de janeiro de 1997; Resolução CNRH nº 192, 19 de dezembro de 2017; e Resolução ANA nº 20, de 12 de março de 2018.</t>
  </si>
  <si>
    <t>PRODUTO</t>
  </si>
  <si>
    <t>UNIDADE DE MEDIDA</t>
  </si>
  <si>
    <t>Projeto</t>
  </si>
  <si>
    <t>TIPO</t>
  </si>
  <si>
    <t>Número de estudos realizados</t>
  </si>
  <si>
    <t>P61.e</t>
  </si>
  <si>
    <t>CODIFICAÇÃO PAP</t>
  </si>
  <si>
    <t>1.5.1.</t>
  </si>
  <si>
    <t>Programa de avaliação de aceitação da cobrança</t>
  </si>
  <si>
    <t>NÚMERO DA AÇÃO NO PRH</t>
  </si>
  <si>
    <t>Gestão de recursos hídricos</t>
  </si>
  <si>
    <t>META</t>
  </si>
  <si>
    <r>
      <t xml:space="preserve">ANO </t>
    </r>
    <r>
      <rPr>
        <b/>
        <vertAlign val="superscript"/>
        <sz val="10"/>
        <color rgb="FF000000"/>
        <rFont val="Calibri"/>
        <family val="2"/>
      </rPr>
      <t>1</t>
    </r>
  </si>
  <si>
    <r>
      <t xml:space="preserve">ANO </t>
    </r>
    <r>
      <rPr>
        <b/>
        <vertAlign val="superscript"/>
        <sz val="10"/>
        <color rgb="FF000000"/>
        <rFont val="Calibri"/>
        <family val="2"/>
      </rPr>
      <t>2</t>
    </r>
  </si>
  <si>
    <t>1 e 2 - Produtos elaborados pela Escola de Projetos, sendo composta a equipe de 01 engenheiro e 04 estagiários</t>
  </si>
  <si>
    <t>SUBAÇÃO</t>
  </si>
  <si>
    <t>1.5.1.1</t>
  </si>
  <si>
    <t>Elaboração de estudo para a atualização dos valores e mecanismos da cobrança pelo uso dos recursos hídricos</t>
  </si>
  <si>
    <t>Estudo de atualização sobre os valores e mecanismos de cobrança pelo uso de recursos hídrico da bacia hidrográfica da bacia hidrográfica do Doce</t>
  </si>
  <si>
    <t>JUSTIFICATIVA</t>
  </si>
  <si>
    <t>PLANEJAMENTO PLURIANUAL - PAP - AÇÃO 1.5.1</t>
  </si>
  <si>
    <t>PRODUTO 1</t>
  </si>
  <si>
    <t>PRODUTO 2</t>
  </si>
  <si>
    <t>Reavaliação do estudo de cobrança pelo uso de recursos hídrico da bacia hidrográfica da bacia hidrográfica do Doce</t>
  </si>
  <si>
    <t>Condicionante da Resolução CNRH nº 212/2020 que delegou para a AGEVAP o exercício de funções inerentes à Agência de Água da Bacia Hidrográfica do Rio Doce, no artigo 3º  - até 30 de junho de 2021, o Comitê da Bacia Hidrográfica do Rio Doce deverá apresentar proposta de revisão dos mecanismos e valores da cobrança pelo uso dos recursos hídricos de sua área de atuação ao CNRH. Parágrafo único. Caso a proposta a que se refere o caput não assegure a viabilidade financeira da entidade delegatária, esta delegação será revogada.</t>
  </si>
  <si>
    <t>MÊSES</t>
  </si>
  <si>
    <t>FÍSICO</t>
  </si>
  <si>
    <t>FINANCEIRO</t>
  </si>
  <si>
    <t>Cotação</t>
  </si>
  <si>
    <t>AGEVAP</t>
  </si>
  <si>
    <t>EQUIPE TÉCNICA PERMANENTE - ESCOLA DE PROJETOS</t>
  </si>
  <si>
    <t>Estagiário</t>
  </si>
  <si>
    <t>4-</t>
  </si>
  <si>
    <t>O Estudo será elaborado pela equipe da escola de projetos, previsão de 04 (quatro) meses de 01 (um) engenheiro e 05 (cinco) meses de 04 (quatro) estagiários técnicos.</t>
  </si>
  <si>
    <t>5 -</t>
  </si>
  <si>
    <t xml:space="preserve">Execução de 12 oficinas setoriais </t>
  </si>
  <si>
    <t>ANO</t>
  </si>
  <si>
    <t xml:space="preserve">ANO </t>
  </si>
  <si>
    <t>EXECUÇÃO</t>
  </si>
  <si>
    <t>PLANEJAMENTO ORÇAMENTÁRIO ANUAL - POA - 2021 - 2025</t>
  </si>
  <si>
    <t>Pessoal próprio - Escola de Projetos</t>
  </si>
  <si>
    <t>Os K's foram calculado através de fórmulas estabelecidas pelo Acórdão 1787/2011. Os parâmetros utilizados foram do s ES da AGEVAP e o outros foram zerados pelo fato de que o estudo será feito pela equipe da AGEVAP.</t>
  </si>
  <si>
    <t>A remuneração mensal tem como base a Instrução de Serviço DG nº 03, de 07 de março de 2012 do DNIT - Tabela de preços de consultoria do DNIT. O valor da da remuneração horária é calculada pela divisão da remuneração mensal pelo número de horas efetivamente trabalhada.</t>
  </si>
  <si>
    <t>O acompanhamento será feito pela equipe da escola de projetos, previsão de 40 (quarenta) horas mensais por 18 (dezoito) meses de 01 (um) engenheiro e 40 (quarenta) horas mensais por 18 (dezoito) meses de 04 (quatro) estagiários técnicos.</t>
  </si>
  <si>
    <t>Execução de 12 viagens durante a execução do trabalho.</t>
  </si>
  <si>
    <t>PLANEJAMENTO PLURIANUAL - PAP - AÇÃO 1.1.1</t>
  </si>
  <si>
    <t>Fundamentar e orientar a implementação da Política Nacional de Recursos Hídricos e o gerenciamento dos recursos hídricos em nível de bacia hidrográfica.</t>
  </si>
  <si>
    <t>Estabelecimento de documento programático para a bacia, contendo as diretrizes de usos dos recursos hídricos e as medidas correlatas, com  horizonte de planejamento de longo prazo, compatível com o período de implantação de seus programas e projetos. Orientação da atuação dos gestores no que diz respeito ao uso, recuperação, proteção, conservação e desenvolvimento dos recursos hídricos.</t>
  </si>
  <si>
    <t>Art. 6º, 7º e 8º da Lei nº 9.433, de 8 de janeiro de 1997; e Resolução CNRH nº 145, de 12 de dezembro de 2012.</t>
  </si>
  <si>
    <t>Planos de Recursos Hídricos (PRH)</t>
  </si>
  <si>
    <t>Elaboração, atualização ou revisão do Plano de Recursos Hídricos (PRH)</t>
  </si>
  <si>
    <t>1.1.1.</t>
  </si>
  <si>
    <t xml:space="preserve">Manter atualizada a agenda dos recursos hídricos de uma região, incluindo informações sobre ações de gestão, projetos, obras e investimentos prioritários. </t>
  </si>
  <si>
    <t>Elaboração de Plano de Bacia de acordo com o estabelecido em Termo de Referência específico, construído a partir da articulação entre a entidade gestora de recursos hídricos e o comitê de bacia hidrográfica, quando ele existir, considerando as especificidades da bacia hidrográfica.</t>
  </si>
  <si>
    <t>Plano de Recursos Hídricos ou Resumo Executivo elaborado/revisado</t>
  </si>
  <si>
    <t>Documento</t>
  </si>
  <si>
    <t>1 e 2</t>
  </si>
  <si>
    <t>2021 e 2022</t>
  </si>
  <si>
    <t>Acompanhamento Escola de Projetos - pesoal próprio</t>
  </si>
  <si>
    <t>Para atender ao Ácórdão nº 1749/2018 - TCU - Plenário e principalmente a recomendação do item 9.1.6. ao Comitê Integrado da Bacia Hidrográfica do Rio Doce (CBH-Doce) que inclua os estudos necessários para o enquadramento dos corpos d’água da bacia do rio Doce na revisão que vier a ser realizada no Plano Integrado de Recursos Hídricos da Bacia do Rio Doce (PIRH), para aprovação pelos comitês integrantes da bacia, CBH-Doce e comitês estaduais, e posterior homologação pelos respectivos conselhos de recursos hídricos a ANA contratou a revisão do Plano de Recursos Hídricos.</t>
  </si>
  <si>
    <t>6.1b</t>
  </si>
  <si>
    <t>1 - Produto acompanhado pela Escola de Projetos, sendo composta a equipe de 01 engenheiro e 04 estagiários</t>
  </si>
  <si>
    <t>hora</t>
  </si>
  <si>
    <t>Auxiliar de escritório</t>
  </si>
  <si>
    <t>SERVIÇO DE SONDAGEM</t>
  </si>
  <si>
    <t>SERVIÇO DE TOPOGRAFIA</t>
  </si>
  <si>
    <t>Custo de alimentação em evento</t>
  </si>
  <si>
    <t>Coordenador geral</t>
  </si>
  <si>
    <t>Instalação e transporte dos equipamentos de sondagem</t>
  </si>
  <si>
    <t>Sondagem do Terreno a Percussão (&gt;30m)</t>
  </si>
  <si>
    <t>Mobilização e Demobilização entre 50 e 150 km</t>
  </si>
  <si>
    <t>Fornecimento de equipe de cadastro de interferência subterrânea composta por 1 encarregado, 1 técnico detectorista, 3 ajudantes, 1 detector eletromagnético, 1 veículo inclusive coordenação, cálculo e desenhos</t>
  </si>
  <si>
    <t>Estadia e alimentação considerando pernoite, café da manhã, almoço e jantar para equipe de 4 pessoas</t>
  </si>
  <si>
    <t>Assessoria técnica em serviços de agrimensura</t>
  </si>
  <si>
    <t>AETESP/
APEAESP</t>
  </si>
  <si>
    <t>CPOS-SP</t>
  </si>
  <si>
    <t>taxa</t>
  </si>
  <si>
    <t>equipe</t>
  </si>
  <si>
    <t>dia</t>
  </si>
  <si>
    <t>Técnico em saneamento</t>
  </si>
  <si>
    <t>Engenheiro/arquiteto pleno</t>
  </si>
  <si>
    <t>Engenheiro elétrico pleno</t>
  </si>
  <si>
    <t>Engenheiro mecânico pleno</t>
  </si>
  <si>
    <t>Consultor especial - cálculo estrutural</t>
  </si>
  <si>
    <t>Advogado pleno</t>
  </si>
  <si>
    <t>Custo do veículo por dia</t>
  </si>
  <si>
    <t>Impresão de desenhos</t>
  </si>
  <si>
    <t>Cópia reprográfica</t>
  </si>
  <si>
    <t>Encadernações - Pasta A - Z</t>
  </si>
  <si>
    <t>R$/dia</t>
  </si>
  <si>
    <t>R$/pessoa</t>
  </si>
  <si>
    <t>SERVIÇO DE APOIO TÉCNICO</t>
  </si>
  <si>
    <t>PROJETO SISTEMA DE ESGOTAMENTO SANITÁRIO</t>
  </si>
  <si>
    <t>PLANO DE COMUNICAÇÃO</t>
  </si>
  <si>
    <t>Coordenador de projetos</t>
  </si>
  <si>
    <t>Profissional pleno (RP)</t>
  </si>
  <si>
    <t>Profissional de nível superior júnior (JOR)</t>
  </si>
  <si>
    <t>Profissional de nível superior júnior (DSN)</t>
  </si>
  <si>
    <t>Profissional de nível superior júnior (TI)</t>
  </si>
  <si>
    <t>Técnico Júnior (WD)</t>
  </si>
  <si>
    <t>Profissional Auxiliar (ADM)</t>
  </si>
  <si>
    <t>Fotográfo</t>
  </si>
  <si>
    <t>Locação de drone</t>
  </si>
  <si>
    <t>Impresão colorida</t>
  </si>
  <si>
    <t>R$/mês</t>
  </si>
  <si>
    <t>Encadernações capa dura</t>
  </si>
  <si>
    <t>Custo de alimentação</t>
  </si>
  <si>
    <t>APOIO SECRETARIA EXECUTIVA</t>
  </si>
  <si>
    <t>Etagiário</t>
  </si>
  <si>
    <t xml:space="preserve">Prazo </t>
  </si>
  <si>
    <t>Estudos complementares para elaboração de proposta de enquadramento dos corpos d´´agua</t>
  </si>
  <si>
    <t>RECEITA DA COBRANÇA</t>
  </si>
  <si>
    <t>RECEITA: SALDO REMANESCENTE + RENDIMENTOS FINANCEIROS + RECURSOS A ARRECADAR</t>
  </si>
  <si>
    <t xml:space="preserve">PROGRAMA </t>
  </si>
  <si>
    <t xml:space="preserve">AÇÃO </t>
  </si>
  <si>
    <t>PIRH</t>
  </si>
  <si>
    <t>1.1.1.1</t>
  </si>
  <si>
    <t>1.1.2.1</t>
  </si>
  <si>
    <t>Acompanhamento e monitoramento do MOP</t>
  </si>
  <si>
    <t>1.1.3.1</t>
  </si>
  <si>
    <t>Enquadramento dos corpos d'água em classes segundo usos preponderantes</t>
  </si>
  <si>
    <t>1.2.1</t>
  </si>
  <si>
    <t>Elaboração de estudos de fundamentação para proposta de enquadramento, reenquadramento ou atualização de enquadramento</t>
  </si>
  <si>
    <t>1.2.2</t>
  </si>
  <si>
    <t>Encaminhamentos e acompanhamento da elaboração da proposta de enquadramento, reenquadramento ou atualização de enquadramento ou do Programa de Efetivação do Enquadramento</t>
  </si>
  <si>
    <t>1.2.3</t>
  </si>
  <si>
    <t>Implementação do Programa de Efetivação do Enquadramento</t>
  </si>
  <si>
    <t>1.2.4</t>
  </si>
  <si>
    <t>Acompanhamento e monitoramento das metas do Programa de Efetivação do Enquadramento</t>
  </si>
  <si>
    <t xml:space="preserve">Outorgas dos direitos de uso de recursos hídricos </t>
  </si>
  <si>
    <t>1.3.1</t>
  </si>
  <si>
    <t>Participação na regularização dos usos de águas superficiais</t>
  </si>
  <si>
    <t>1.3.2</t>
  </si>
  <si>
    <t>Participação na regularização dos usos de águas subterrâneas</t>
  </si>
  <si>
    <t>1.3.3</t>
  </si>
  <si>
    <t>Participação no cadastramento de usos de recursos hídricos</t>
  </si>
  <si>
    <t>1.3.4</t>
  </si>
  <si>
    <t>Participação no estabelecimento e aprimoramento de marcos regulatórios</t>
  </si>
  <si>
    <t xml:space="preserve">Sistema de informações sobre recursos hídricos </t>
  </si>
  <si>
    <t>1.4.1</t>
  </si>
  <si>
    <t>Desenvolvimento, implantação, manutenção ou atualização de sistemas de informações e de suporte à decisão sobre recursos hídricos</t>
  </si>
  <si>
    <t>1.4.1.1</t>
  </si>
  <si>
    <t>1.4.2</t>
  </si>
  <si>
    <t>Integração e divulgação das bases de dados</t>
  </si>
  <si>
    <t>1.4.2.1</t>
  </si>
  <si>
    <t>Integração de dados com os órgãos gestores</t>
  </si>
  <si>
    <t>1.4.3</t>
  </si>
  <si>
    <t>Operação e manutenção de serviços básicos de Tecnologia da Informação e Comunicação (TIC)</t>
  </si>
  <si>
    <t>Desenvolvimento, manutenção e atualização de serviços e sistemas de cobrança</t>
  </si>
  <si>
    <t>Fiscalização dos usos de recursos hídricos </t>
  </si>
  <si>
    <t>1.6.1</t>
  </si>
  <si>
    <t>Participação nas campanhas de fiscalização dos usos de recursos hídricos</t>
  </si>
  <si>
    <t>Monitoramento Hidrometeorológico</t>
  </si>
  <si>
    <t>1.7.1</t>
  </si>
  <si>
    <t>Monitoramento quantitativo dos recursos hídricos superficiais</t>
  </si>
  <si>
    <t>1.7.2</t>
  </si>
  <si>
    <t>Monitoramento qualitativo dos recursos hídricos superficiais</t>
  </si>
  <si>
    <t>1.7.3</t>
  </si>
  <si>
    <t>Monitoramento quantitativo dos recursos hídricos subterrâneos</t>
  </si>
  <si>
    <t>1.7.4</t>
  </si>
  <si>
    <t>Monitoramento qualitativo dos recursos hídricos subterrâneos</t>
  </si>
  <si>
    <t>1.7.5</t>
  </si>
  <si>
    <t>Elaboração, revisão, atualização e apoio em estudos e bases referenciais de balanços hídricos da bacia</t>
  </si>
  <si>
    <t>1.7.6</t>
  </si>
  <si>
    <t>Monitoramento Integrado rio-aquífero</t>
  </si>
  <si>
    <t>Segurança hídrica e eventos críticos</t>
  </si>
  <si>
    <t>1.8.1</t>
  </si>
  <si>
    <t>Desenvolvimento, implantação, manutenção ou atualização de sistemas de alerta a cheias e inundações</t>
  </si>
  <si>
    <t>1.8.2</t>
  </si>
  <si>
    <t>Desenvolvimento, implantação, manutenção ou atualização de salas de situação</t>
  </si>
  <si>
    <t>1.8.3</t>
  </si>
  <si>
    <t>Estudos, planos, projetos e obras para implantação, expansão ou adequação de estruturas hidráulicas para contenção de inundações ou alagamentos ou regularização de descargas</t>
  </si>
  <si>
    <t>1.8.4</t>
  </si>
  <si>
    <t>Estudos, planos, projetos e obras para implantação, expansão ou adequação de estruturas hidráulicas para aumento da segurança hídrica</t>
  </si>
  <si>
    <t>1.8.4.1</t>
  </si>
  <si>
    <t>1.8.4.2</t>
  </si>
  <si>
    <t>1.8.4.3</t>
  </si>
  <si>
    <t>Escola de projetos</t>
  </si>
  <si>
    <t>1.8.5</t>
  </si>
  <si>
    <t>Elaboração, revisão, atualização e apoio em estudos e bases referenciais de segurança hídrica</t>
  </si>
  <si>
    <t>Normas e ações relacionados aos sistemas e políticas de gestão de recursos hídricos</t>
  </si>
  <si>
    <t>1.9.1</t>
  </si>
  <si>
    <t>Estudos ou ações voltadas à proposição de atualizações e aprimoramento da legislação em temas relacionados à gestão de recursos hídricos</t>
  </si>
  <si>
    <t>1.9.2</t>
  </si>
  <si>
    <t>Promoção de articulações, cooperações e parcerias para gestão integrada dos recursos hídricos</t>
  </si>
  <si>
    <t>1.9.3</t>
  </si>
  <si>
    <t>Elaboração, revisão, atualização ou apoio em estudos e ações que visem à uniformização dos instrumentos e elementos de gestão de recursos hídricos entre os diversos entes do SINGREH</t>
  </si>
  <si>
    <t xml:space="preserve">Gestão dos recursos hídricos subterrâneos </t>
  </si>
  <si>
    <t>1.10.1</t>
  </si>
  <si>
    <t>Cadastramento de usuários de águas subterrâneas</t>
  </si>
  <si>
    <t>1.10.2</t>
  </si>
  <si>
    <t>Desenvolvimento de estudos que avaliem o potencial de explotação dos recursos hídricos subterrâneos e interdependência rio/aquífero na bacia</t>
  </si>
  <si>
    <t>1.10.3</t>
  </si>
  <si>
    <t>Delimitação de áreas de recarga prioritárias, nos aquíferos mais relevantes da bacia, avaliação da vulnerabilidade e definição de medidas protetivas</t>
  </si>
  <si>
    <t>1.10.4</t>
  </si>
  <si>
    <t>Delimitação de áreas de restrição e controle do uso dos recursos hídricos subterrâneos e/ou determinação de perímetros de alerta de poços de abastecimento público</t>
  </si>
  <si>
    <t xml:space="preserve">Comunicação, mobilização social, educação e capacitação técnica </t>
  </si>
  <si>
    <t>1.11.1</t>
  </si>
  <si>
    <t>Comunicação social voltada ao fortalecimento do comitê de bacia hidrográfica</t>
  </si>
  <si>
    <t>1.11.1.1</t>
  </si>
  <si>
    <t>Elaboração e operacionalização do Plano de Comunicação Social</t>
  </si>
  <si>
    <t>Contratação de gerenciadora - Secretaria Executiva</t>
  </si>
  <si>
    <t>1.11.2</t>
  </si>
  <si>
    <t>Mobilização social voltada ao fortalecimento do comitê de bacia hidrográfica</t>
  </si>
  <si>
    <t>1.11.3</t>
  </si>
  <si>
    <t>Educação ambiental para ações vinculadas aos Planos de Recursos Hídricos</t>
  </si>
  <si>
    <t>1.11.4</t>
  </si>
  <si>
    <t>Capacitação técnica relacionada ao planejamento e gestão de recursos hídricos</t>
  </si>
  <si>
    <t>1.11.4.1</t>
  </si>
  <si>
    <t>Contratação de cursos de capacitação em gestão de recursos hídricos</t>
  </si>
  <si>
    <t>AGENDA SETORIAL</t>
  </si>
  <si>
    <t>Recuperação da qualidade da água</t>
  </si>
  <si>
    <t>2.1.1</t>
  </si>
  <si>
    <t>Elaboração, revisão ou atualização dos Planos Municipais de Saneamento Básico</t>
  </si>
  <si>
    <t>2.1.1.1</t>
  </si>
  <si>
    <t>Elaboração de estudo consolidado sobre os PMSB - atendimento TCU</t>
  </si>
  <si>
    <t>2.1.2</t>
  </si>
  <si>
    <t>Estudos, planos, projetos ou obras para implantação, expansão e adequação de sistemas de efluentes domésticos</t>
  </si>
  <si>
    <t>2.1.2.1</t>
  </si>
  <si>
    <t>Contratação de projetos de sistemas de esgotamento sanitário</t>
  </si>
  <si>
    <t>2.1.2.2</t>
  </si>
  <si>
    <t>Contratação de obras de sistemas de esgotamento anitário</t>
  </si>
  <si>
    <t>2.1.2.3</t>
  </si>
  <si>
    <t>Implantação de projeto piloto de sistemas de tratamento de esgoto em pequenas comunidades a nível terciário</t>
  </si>
  <si>
    <t>2.1.2.4</t>
  </si>
  <si>
    <t xml:space="preserve">Escola de Projetos </t>
  </si>
  <si>
    <t>2.1.2.5</t>
  </si>
  <si>
    <t>Contratação de gerenciadora</t>
  </si>
  <si>
    <t>2.1.2.6</t>
  </si>
  <si>
    <t>Contratação da CAIXA</t>
  </si>
  <si>
    <t>2.1.3</t>
  </si>
  <si>
    <t>Estudos, planos, projetos ou obras para implantação, expansão e adequação de sistemas de efluentes industriais</t>
  </si>
  <si>
    <t>2.1.4</t>
  </si>
  <si>
    <t>Estudos, projetos ou obras para implantação, expansão ou adequação de sistemas para coleta, tratamento e disposição final dos resíduos sólidos</t>
  </si>
  <si>
    <t>2.1.5</t>
  </si>
  <si>
    <t>Estudos, planos, projetos ou obras para implantação, expansão e adequação de sistemas para controle de poluição difusa</t>
  </si>
  <si>
    <t>2.1.6</t>
  </si>
  <si>
    <t>Estudos, planos, projetos ou obras visando à melhoria ou recuperação da qualidade das águas mediante intervenções diretas nos corpos hídricos</t>
  </si>
  <si>
    <t>2.1.7</t>
  </si>
  <si>
    <t>Estudos, planos, projetos ou obras para implantação, expansão e adequação de sistemas de drenagem urbana</t>
  </si>
  <si>
    <t xml:space="preserve">Gestão da demanda </t>
  </si>
  <si>
    <t>2.2.1</t>
  </si>
  <si>
    <t>Estudos, planos, projetos, obras ou serviços para controle e redução de perdas de água em sistemas públicos de distribuição</t>
  </si>
  <si>
    <t>2.2.1.1</t>
  </si>
  <si>
    <t>Implantação de projeto piloto de combate a perdas em sistemas de abastecimento de água usando inteligência artificial</t>
  </si>
  <si>
    <t>2.2.1.2</t>
  </si>
  <si>
    <t>Implantação de programas de combate a perdas em sistemas de abastecimento de água</t>
  </si>
  <si>
    <t>2.2.2</t>
  </si>
  <si>
    <t>Estudos, projetos ou obras para promoção do uso racional da água nos diversos setores usuários</t>
  </si>
  <si>
    <t>2.2.2.1</t>
  </si>
  <si>
    <t>Implantação de projeto de uso racional na agricultura</t>
  </si>
  <si>
    <t>2.2.3</t>
  </si>
  <si>
    <t>Estudos, projetos ou obras para reúso da água</t>
  </si>
  <si>
    <t>2.2.3.1</t>
  </si>
  <si>
    <t>Implantação de projeto piloto de sistemas de reúso de água</t>
  </si>
  <si>
    <t>2.2.4</t>
  </si>
  <si>
    <t>Estudos, planos, projetos e obras para implantação, expansão ou adequação de plantas de abastecimento de água</t>
  </si>
  <si>
    <t>Elaboração de projetos e obras de sistemas de abastecimento de água</t>
  </si>
  <si>
    <t>Proteção e conservação dos recursos hídricos</t>
  </si>
  <si>
    <t>2.3.1</t>
  </si>
  <si>
    <t>Estudos, planos, projetos e intervenções destinadas à recuperação ou conservação da cobertura vegetal em áreas de preservação permanente ou outras áreas voltadas à proteção dos recursos hídricos</t>
  </si>
  <si>
    <t>Implatantação do programa "Rio Vivo"</t>
  </si>
  <si>
    <t>2.3.1.2</t>
  </si>
  <si>
    <t>2.3.1.3</t>
  </si>
  <si>
    <t>2.3.2</t>
  </si>
  <si>
    <t>Estruturação, desenvolvimento e realização de programas e projetos destinados a pagamentos por serviços ambientais (PSA) de proteção dos recursos hídricos</t>
  </si>
  <si>
    <t>2.3.2.1</t>
  </si>
  <si>
    <t>2.3.3</t>
  </si>
  <si>
    <t>Estudos, planos, projetos ou intervenções destinadas à conservação de solo para controle da erosão e proteção dos recursos hídricos</t>
  </si>
  <si>
    <t>2.3.3.1</t>
  </si>
  <si>
    <t>2.3.4</t>
  </si>
  <si>
    <t>Desenvolvimento de estudos ou elaboração de propostas para a criação de áreas sujeitas a restrição de uso ou unidades especiais de gestão, com vistas à proteção dos recursos hídricos</t>
  </si>
  <si>
    <t>2.3.5</t>
  </si>
  <si>
    <t>Apoio ao Cadastro Ambiental Rural (CAR)</t>
  </si>
  <si>
    <t>APOIO AO COMITÊ DE BACIA HIDROGRÁFICA</t>
  </si>
  <si>
    <t>Ações finalísticas do comitê de bacia hidrográfica</t>
  </si>
  <si>
    <t>Organização e realização de reuniões, eventos internos e externos do comitê de bacia hidrográfica</t>
  </si>
  <si>
    <t>Promover o encontro anual da Bacia</t>
  </si>
  <si>
    <t>Promover evento com os usuários da bacia</t>
  </si>
  <si>
    <t>3.1.2</t>
  </si>
  <si>
    <t>Serviços de tecnologia da informação necessários ao funcionamento dos sistemas corporativos do comitê de bacia hidrográfica e da entidade delegatária</t>
  </si>
  <si>
    <t>3.1.2.1</t>
  </si>
  <si>
    <t>3.1.3</t>
  </si>
  <si>
    <t>Participação dos membros do comitê de bacia hidrográfica em reuniões e eventos internos e externos</t>
  </si>
  <si>
    <t>3.1.3.1</t>
  </si>
  <si>
    <t>3.1.3.2</t>
  </si>
  <si>
    <t>Participação em eventos - ENCOB</t>
  </si>
  <si>
    <t>3.1.3.3</t>
  </si>
  <si>
    <t>Participação em outros eventos</t>
  </si>
  <si>
    <t>MANUTENÇÃO DO COMITÊ DE BACIA HIDROGRÁFICA E DA ENTIDADE DELEGATÁRIA</t>
  </si>
  <si>
    <t>Manutenção do comitê de bacia hidrográfica</t>
  </si>
  <si>
    <t>4.1.1</t>
  </si>
  <si>
    <t>Infraestrutura e manutenção da sede ou subsede do comitê de bacia hidrográfica</t>
  </si>
  <si>
    <t>Manutenção e custeio administrativo da entidade delegatária</t>
  </si>
  <si>
    <t>4.2.1</t>
  </si>
  <si>
    <t>Infraestrutura e manutenção da entidade delegatária</t>
  </si>
  <si>
    <t>4.2.1.1</t>
  </si>
  <si>
    <t>Melhoria da estrutura física</t>
  </si>
  <si>
    <t>4.2.2</t>
  </si>
  <si>
    <t>Serviços administrativos para o funcionamento da entidade delegatária</t>
  </si>
  <si>
    <t>4.2.2.1</t>
  </si>
  <si>
    <t>Despesas administrativas</t>
  </si>
  <si>
    <t>4.2.3</t>
  </si>
  <si>
    <t>Remuneração do pessoal administrativo e de dirigentes da entidade delegatária</t>
  </si>
  <si>
    <t>4.2.3.1</t>
  </si>
  <si>
    <t xml:space="preserve">Pessoal administrativo com encargos </t>
  </si>
  <si>
    <t>4.2.4</t>
  </si>
  <si>
    <t>Capacitação de pessoal administrativo e de dirigentes da entidade delegatária</t>
  </si>
  <si>
    <t>4.2.4.1</t>
  </si>
  <si>
    <t>Capacitação em 5S e outros</t>
  </si>
  <si>
    <t>4.2.5</t>
  </si>
  <si>
    <t>Deslocamento de pessoal administrativo e de dirigentes da entidade delegatária</t>
  </si>
  <si>
    <t>4.2.5.1</t>
  </si>
  <si>
    <t>Viagens, diáriais, reembolso de despesas</t>
  </si>
  <si>
    <t>PREVISTO ARRECADAÇÃO DE 2020 e 2021</t>
  </si>
  <si>
    <t>Acompanhamento e monitoramento da implemntação do PRH</t>
  </si>
  <si>
    <t>SERVIÇO DE DRONE</t>
  </si>
  <si>
    <t>Locação e operação de drone</t>
  </si>
  <si>
    <t>Técnico em geoprocessamento</t>
  </si>
  <si>
    <t>Secretaria</t>
  </si>
  <si>
    <t>GERENCIADORA AGENDA VERDE</t>
  </si>
  <si>
    <t>GERENCIADORA AGENDA MARROM</t>
  </si>
  <si>
    <t>Engenheiro civil pleno</t>
  </si>
  <si>
    <t>Engenheiro agrônomo/ambiental pleno</t>
  </si>
  <si>
    <t>Técnico em saneamento senior</t>
  </si>
  <si>
    <t>Desenhista cadista</t>
  </si>
  <si>
    <t>Técnico agrícola senior</t>
  </si>
  <si>
    <t>Especialista em meio ambiente</t>
  </si>
  <si>
    <t>Especialista em Ciências Sociais</t>
  </si>
  <si>
    <t>Especialista em Modelagem Matemática</t>
  </si>
  <si>
    <t>Economista</t>
  </si>
  <si>
    <t>Especialista em Geoprocessamento</t>
  </si>
  <si>
    <t>Profissional pleno (PP)</t>
  </si>
  <si>
    <t>Técnico em informática</t>
  </si>
  <si>
    <t xml:space="preserve">Aditivo ao programa siga </t>
  </si>
  <si>
    <t>Tornar as informações relacionadas a recursos hídricos acessíveis aos gestores e à sociedade em geral, de modo a facilitar a tomada de decisões.</t>
  </si>
  <si>
    <t>Sistematização de informações sobre recursos hídricos, incluindo fatores intervenientes para sua gestão.</t>
  </si>
  <si>
    <t>Art. 25 a 27 da Lei nº 9.433, de 8 de janeiro de 1997.</t>
  </si>
  <si>
    <t>Tornar as informações acessíveis aos gestores e à sociedade em geral; tornar as decisões mais confiáveis; e manter o Sistema de Informações e de Suporte à Decisão (SSD) operante.</t>
  </si>
  <si>
    <t>Aquisição de equipamentos e sistemas adequados às necessidades operacionais; e atualização periódica, aprimoramento e sistematização das informações sobre recursos hídricos.</t>
  </si>
  <si>
    <t>Sistema de informação/SSD desenvolvido/implementado</t>
  </si>
  <si>
    <t>Projeto de desenvolvimento de um sistema de informações sobre recursos hídricos da bacia do rio Doce</t>
  </si>
  <si>
    <t>P61.a</t>
  </si>
  <si>
    <t>Art. 25 a 27 da Lei Federal nº 9.433, de 8 de janeiro de 1997.</t>
  </si>
  <si>
    <t>valor do reajuste do IPCA</t>
  </si>
  <si>
    <t>Para atender ao Ácórdão nº 1749/2018 - TCU - Plenário e principalmente a recomendação do item 9.1.3.1 - disponibilizem, nos relatórios de gestão e na internet, informações sobre o grau de implementação dos programas do Plano Integrado de Recursos Hídricos da Bacia do Rio Doce (PIRH) em contraposição ao previsto, com o objetivo de dar transparência ao andamento do cronograma previsto no PIRH. Assim como, tornar as informações relacionadas a recursos hídricos acessíveis aos gestores e à sociedade em geral, de modo a facilitar a tomada de decisões.</t>
  </si>
  <si>
    <t>1 a 5</t>
  </si>
  <si>
    <t>2021 a 2025</t>
  </si>
  <si>
    <t xml:space="preserve">PRODUTO </t>
  </si>
  <si>
    <t>Empresa contratada</t>
  </si>
  <si>
    <t>Implantação, operacionalização, manutenção e atualização de um sistema de informações - SIGA - SISTEMA INTEGRADO DE GESTÃO DAS ÁGUAS</t>
  </si>
  <si>
    <t>Gerenciamento e manutenção dos sistemas de informação</t>
  </si>
  <si>
    <t>Atividade</t>
  </si>
  <si>
    <t>Desenvolvimento, implantação, manutenção ou atualização de sistemas de informações - SIGA Sistema Integrado de Gestão das Águas</t>
  </si>
  <si>
    <t>Relatório mensal de atividades planejadas e realizadas nas manutenções preventivas e corretivas</t>
  </si>
  <si>
    <t>Elaboração do estudo da cobrança - Escola de Projetos - Engenheiro Hídrico</t>
  </si>
  <si>
    <t>PLANEJAMENTO PLURIANUAL - PAP - AÇÃO 1.4.1</t>
  </si>
  <si>
    <t xml:space="preserve">GERENCIADORA DE TI </t>
  </si>
  <si>
    <t>Prevenir e reduzir os impactos das perdas de vidas humanas e material causadas por eventos extremos.</t>
  </si>
  <si>
    <t>Implantação e operacionalização de um conjunto de serviços, obras, planos, programas e projetos com objetivo de garantir o uso múltiplo dos recursos hídricos e a gestão de risco de eventos críticos, devido a condições climáticas extremas (secas e inundações) e a desastres naturais ou antrópicos.</t>
  </si>
  <si>
    <t>Lei Federal nº 9.433, de 8 de janeiro de 1997.</t>
  </si>
  <si>
    <t>Projeto ou Atividade</t>
  </si>
  <si>
    <t>Subsidiar a decisão das autoridades que tratam da gestão de eventos hidrológicos críticos, sejam por cheias e inundações ou devido à seca.</t>
  </si>
  <si>
    <t>Monitoramento e análise da evolução das chuvas, dos níveis e da vazão dos principais rios, reservatórios e bacias hidrográficas.</t>
  </si>
  <si>
    <t>1.8.2.1</t>
  </si>
  <si>
    <t>Implantação, operacionalização, manutenção e atualização de um sistema de monitoramento de recursos hídricos e ambientais - via satélite</t>
  </si>
  <si>
    <t>Sistema de monitoramento de recursos hídricos e ambientais - via satélite</t>
  </si>
  <si>
    <t>PLANEJAMENTO PLURIANUAL - PAP - AÇÃO 1.8.2</t>
  </si>
  <si>
    <t>Monitoramento e análise da evolução das chuvas, dos níveis e da vazão dos principais rios, reservatórios e bacias hidrográficas, para subsidiar a decisão das autoridades que tratam da gestão de eventos hidrológicos críticos, sejam por cheias e inundações ou devido à seca.</t>
  </si>
  <si>
    <t>P25 e P31</t>
  </si>
  <si>
    <t xml:space="preserve">Ações de convivência com a seca  e Programa de convivência com as cheias </t>
  </si>
  <si>
    <t>PLANEJAMENTO PLURIANUAL - PAP - AÇÃO 1.8.4</t>
  </si>
  <si>
    <t>Prevenir e reduzir os impactos das perdas de vidas humanas e material causadas por cheias e escassez hídrica.</t>
  </si>
  <si>
    <t>Desenvolvimento de estudos, projetos, obras relacionados às intervenções recomendadas no Plano Nacional de Segurança Hídrica: obras de barragens, canais, eixos de integração e sistemas adutores de água. </t>
  </si>
  <si>
    <t>Lei Federal nº 9.433, de 8 de janeiro de 1997 e Lei Federal nº 14.026, de 15 de julho de 2020.</t>
  </si>
  <si>
    <t>nº de boletins ou avisos emitidos pela Sala de Situação</t>
  </si>
  <si>
    <t>Estudo/Plano/Projeto/Obra/elaborados e/ou implementados</t>
  </si>
  <si>
    <t>Desenvolvimento de estudos, projetos, obras relacionados às intervenções recomendadas no Plano Nacional de Segurança Hídrica: obras de barragens, canais, eixos de integração e sistemas adutores de água para Prevenir e reduzir os impactos das perdas de vidas humanas e material causadas por cheias e escassez hídrica.</t>
  </si>
  <si>
    <t>Especialista em projetos de segurança hídrica</t>
  </si>
  <si>
    <t>PLANO DE SEGURANÇA HÍDRICA</t>
  </si>
  <si>
    <t>Plano de Segurança Hídrica</t>
  </si>
  <si>
    <t>1.8.4.4</t>
  </si>
  <si>
    <t>Gerenciadora de obras de segurança hídrica</t>
  </si>
  <si>
    <t>Técnico em edificações senior</t>
  </si>
  <si>
    <t>GERENCIADORA DE OBRAS HIDRÁULICAS</t>
  </si>
  <si>
    <t>4 e 5</t>
  </si>
  <si>
    <t>2024 e 2025</t>
  </si>
  <si>
    <t>Acompanhamento de obras e de estruturas hidráulicas</t>
  </si>
  <si>
    <t>Gerenciadora de obras e de estruturas hidráulicas</t>
  </si>
  <si>
    <t>Gestão dos estudos, projeto, obras e estruturas hidráulicas</t>
  </si>
  <si>
    <t>Relatório de gestão das obras</t>
  </si>
  <si>
    <t>Gestor será feita pelo engº civil da escola de projetos</t>
  </si>
  <si>
    <t>Obra</t>
  </si>
  <si>
    <t>Execucção de obras relacionados às intervenções recomendadas pelo Plano de Segurança Hídrica para prevenir e reduzir os impactos das perdas de vidas humanas e material causadas por cheias e escassez hídrica.</t>
  </si>
  <si>
    <t>3, 4 e 5</t>
  </si>
  <si>
    <t>2023, 2024 e 2025</t>
  </si>
  <si>
    <t>Execução de obras de segurança hídrica</t>
  </si>
  <si>
    <t>Execução de obra de segurança hídrica</t>
  </si>
  <si>
    <t>Obras de Segurança Hídrica</t>
  </si>
  <si>
    <t xml:space="preserve">valor em milhões </t>
  </si>
  <si>
    <t>milhões</t>
  </si>
  <si>
    <t>Escola de projetos - engenheiro civil</t>
  </si>
  <si>
    <t>Valor de correção do IPCA</t>
  </si>
  <si>
    <t>Elaboração e operacionalização do Plano de Comunicação</t>
  </si>
  <si>
    <t>Plano de Comunicação e sua operacionalização</t>
  </si>
  <si>
    <t>2021, 2022, 2023, 2024 e 2025</t>
  </si>
  <si>
    <t>Promover o reconhecimento do comitê pela população da bacia, bem como a compreensão de seu trabalho e dos resultados de suas ações.</t>
  </si>
  <si>
    <t>Elaboração de plano de Comunicação Social. Implementação do plano utilizando os diversos canais. Veiculação de notícias e avisos de interesse dos membros do Comitê. Promoção da transparência das ações e incentivar a participação em fóruns de interesse do referido colegiado.</t>
  </si>
  <si>
    <t>Resolução CNRH nº 98, de 26 de março de 2009.</t>
  </si>
  <si>
    <t>Quantidade de notícias veiculadas</t>
  </si>
  <si>
    <t>Programa de comunicação do programa de ações</t>
  </si>
  <si>
    <t>P71</t>
  </si>
  <si>
    <t>Conscientizar, sensibilizar e envolver os atores da bacia hidrográfica nas ações relacionadas à gestão de recursos hídricos.</t>
  </si>
  <si>
    <t>Aprimoramento da comunicação social, mobilização social, educação e capacitação técnica relativa à gestão de recursos hídricos.</t>
  </si>
  <si>
    <t>Resolução CNRH nº 98, de 26 de março de 2009; e Lei Federal nº 9.795, de 27 de abril de 1999.</t>
  </si>
  <si>
    <t>Elaboração e implementação do Plano de Comunicação Social com veiculação de notícias de interesse dos membros do Comitê e promoção da transparência das ações do colegiado. Assim promover o reconhecimento do comitê pela população da bacia, bem como a compreensão de seu trabalho e dos resultados de suas ações.</t>
  </si>
  <si>
    <t>Apoio operacional a secretaria executiva do comitê para a organização de reuniões, plenárias, pagamentos de diárias, reembolso de despesas e outras atividades afins.</t>
  </si>
  <si>
    <t>Relatório Mensal de atividades</t>
  </si>
  <si>
    <t>3.1.1.3</t>
  </si>
  <si>
    <t>Prover condições para que os representantes da bacia hidrográfica discutam e deliberem a respeito da gestão dos recursos hídricos compartilhando responsabilidades de gestão com o poder público.</t>
  </si>
  <si>
    <t>Organização e realização de reuniões, eventos internos e externos do comitê de bacia hidrográfica.</t>
  </si>
  <si>
    <t>Resolução CNRH nº 5, de 10 de abril de 2000; e Resolução CNRH nº 98, de 26 de março de 2009.</t>
  </si>
  <si>
    <t>Nº de participantes nos eventos realizados ou nº de eventos formativos realizados</t>
  </si>
  <si>
    <t>Prover ao comitê de bacia hidrográfica condições necessárias ao desenvolvimento de sua agenda de trabalho e cumprimento de suas atribuições legais.</t>
  </si>
  <si>
    <t>Suporte ao funcionamento do comitê de bacia hidrográfica</t>
  </si>
  <si>
    <t>Organização e realização de reuniões, eventos internos e externos do comitê de bacia hidrográfica, inclusive apoio para participação e deslocamento de seus membros.</t>
  </si>
  <si>
    <t>Resolução ANA nº 29, de 15 de junho de 2020.</t>
  </si>
  <si>
    <t>PLANEJAMENTO PLURIANUAL - PAP - AÇÃO 3.1.1</t>
  </si>
  <si>
    <t>P61.2</t>
  </si>
  <si>
    <t xml:space="preserve">Sub-programa: fortalecimento dos comitês na bacia segundo o arranjo institucional elaborado no âmbito do plano e objetivando a consolidação dos sistemas estaduais de gerenciamento de recursos hídricos  </t>
  </si>
  <si>
    <t>Fortalecer a governança na bacia hidrográfica, com ênfase na melhoria da coordenação institucional para implementação dos planos de recursos hídricos, através da capacitação dos membros do comitê de bacia hidrográfica e da entidade delegatária.</t>
  </si>
  <si>
    <t>Promoção, em conjunto com os órgãos gestores federal e estadual(is), de capacitação técnica aos membros do comitê de bacia hidrográfica e da entidade delegatária, com vistas ao fortalecimento da governança na bacia hidrográfica, com ênfase na melhoria da coordenação institucional para implementação dos planos de recursos hídricos.</t>
  </si>
  <si>
    <t>Quantidade de pessoas capacitadas</t>
  </si>
  <si>
    <t>Programa de treinamento e capacitação</t>
  </si>
  <si>
    <t>P73</t>
  </si>
  <si>
    <t>Elaboração e operacionalização de um programa de treinamento</t>
  </si>
  <si>
    <t>CURSO DE CAPACITAÇÃO</t>
  </si>
  <si>
    <t>Educador senior</t>
  </si>
  <si>
    <t>pessoas</t>
  </si>
  <si>
    <t>Pessoal interno e empresa contratada</t>
  </si>
  <si>
    <t>Programas de execução finalística e que têm elevada dependência de articulação com um ou vários setores de usuários.</t>
  </si>
  <si>
    <t>Garantir para a população da bacia hidrográfica a necessária disponibilidade de água, em padrões de qualidade adequados aos respectivos usos.</t>
  </si>
  <si>
    <t>Programação das ações e dos investimentos necessários para a despoluição dos corpos d'água na bacia hidrográfica.</t>
  </si>
  <si>
    <t>Lei Federal nº 9.433, de 8 de janeiro de 1997, Lei Federal nº 11.445, de 5 de janeiro de 2007, Lei Federal nº 12.305, de 2 de agosto de 2010, Lei Federal nº 6.938, de 31 de agosto de 1981, Lei Federal nº 14.026, de 15 de julho de 2020, Resolução CNRH nº 140, de 21 de março de 2012, e Resolução CNRH nº 141, de 10 de julho de 2012.</t>
  </si>
  <si>
    <t>Elaboração, revisão ou atualização dos Planos Municipais de Saneamento Básico (PMSB)</t>
  </si>
  <si>
    <t>Possibilitar a criação de mecanismos de gestão pública da infraestrutura do município relacionada aos quatro eixos do saneamento básico: abastecimento de água; esgotamento sanitário; manejo de resíduos sólidos e manejo de águas pluviais.</t>
  </si>
  <si>
    <t>Estabelecimento de vínculo entre os PMSBs e a gestão de recursos hídricos, como por exemplo a capacidade de diluição dos efluentes lançados nos corpos receptores, de modo a condicionar o nível de tratamento dos efluentes.</t>
  </si>
  <si>
    <t>PMSBs elaborados/revisados</t>
  </si>
  <si>
    <t xml:space="preserve">Programa de universalização do saneamento </t>
  </si>
  <si>
    <t>P41</t>
  </si>
  <si>
    <t>Atender ao ACÓRDÃO Nº 1749/2018 – TCU – Plenário, principalmente os itens: 9.1.2.4. identifique as situações mais críticas e intensifique a disponibilização de assistência técnica aos municípios que apresentarem dificuldade em tramitar a aprovação do PMSB pelo legislativo municipal, 9.1.2.5. assessore os municípios na busca por recursos junto a órgãos estatais e a outros organismos nacionais ou internacionais que disponibilizam recursos para investimento em saneamento básico e 9.1.2.6. disponibilize manuais aos municípios, em especial para elaboração de projetos voltados para a execução do Plano Municipal de Saneamento Básico (PMSB);</t>
  </si>
  <si>
    <t>Apoiar os múnicipios conforme solicitação do Ácordão do TCU</t>
  </si>
  <si>
    <t>Escola de Projetos</t>
  </si>
  <si>
    <t>3.1.1.1</t>
  </si>
  <si>
    <t>3.1.1.2</t>
  </si>
  <si>
    <t>PLANEJAMENTO PLURIANUAL - PAP - AÇÃO 3.1.2</t>
  </si>
  <si>
    <t>Prover infraestrutura tecnológica para o funcionamento das atividades do comitê de bacia hidrográfica e da entidade delegatária.</t>
  </si>
  <si>
    <t>Contratação de componentes e serviços para sustentar os sistemas de informação do comitê de bacia hidrográfica e da entidade delegatária.</t>
  </si>
  <si>
    <t>Sistemas de TI em produção</t>
  </si>
  <si>
    <t>Prover infraestrutura tecnológica para o funcionamento das atividades do comitê de bacia hidrográfica e da entidade delegatária, incluindo contratação de componentes e serviços para sustentar os sistemas de informação do comitê de bacia hidrográfica e da entidade delegatária.</t>
  </si>
  <si>
    <t>Elaboração de projetos de esgotamento sanitário</t>
  </si>
  <si>
    <t>Dispor o esgoto com o adequado tratamento de forma a garantir a qualidade da água na bacia hidrográfica, preservando a saúde da população, além de preservar a qualidade da água para os usos a jusante, como abastecimento humano, balneabilidade, irrigação, dentre outros.</t>
  </si>
  <si>
    <t>Providências relativas ao conjunto de obras e instalações destinadas a propiciar coleta, transporte e afastamento, tratamento e disposição final do esgoto da comunidade, de forma adequada quanto ao padrão sanitário.</t>
  </si>
  <si>
    <t>Estudo/Plano/Projeto/Obra elaborados/implementados</t>
  </si>
  <si>
    <t>Projeto de SES elaborados</t>
  </si>
  <si>
    <t>Lei Federal nº 9.433, de 8 de janeiro de 1997, Lei Federal nº 11.445, de 5 de janeiro de 2007, Lei Federal nº 14.026, de 15 de julho de 2020, Resolução CNRH nº 140, de 21 de março de 2012, e Resolução CNRH nº 141, de 10 de julho de 2012.</t>
  </si>
  <si>
    <t xml:space="preserve">Projeto   </t>
  </si>
  <si>
    <t>2.1.2.</t>
  </si>
  <si>
    <t>Elaborar os projeto dos sistemas de esgotamento sanitário dos municípios para que possamos buscar parcerias para alavancagem de recursos e assim conseguirmos a execução das obras e dispor o esgoto com o adequado tratamento de forma a garantir a qualidade da água na bacia hidrográfica, preservando a saúde da população, além de preservar a qualidade da água para os usos a jusante, como abastecimento humano, balneabilidade, irrigação, dentre outros.</t>
  </si>
  <si>
    <t>Empresa contratada, Escola de projetos e municípios</t>
  </si>
  <si>
    <t>Projeto do Sistema de Esgotamento Sanitário - SES</t>
  </si>
  <si>
    <t>Correção IPCA</t>
  </si>
  <si>
    <t>Gerenciamento dos projetos e obras de esgotamento sanitário</t>
  </si>
  <si>
    <t>Gerenciar os projetos e obras de sistemas de esgotamento sanitário dos municípios para dispormos o esgoto com o adequado tratamento de forma a garantir a qualidade da água na bacia hidrográfica, preservando a saúde da população, além de preservar a qualidade da água para os usos a jusante, como abastecimento humano, balneabilidade, irrigação, dentre outros.</t>
  </si>
  <si>
    <t>Relatório mensais de andamento das atividades</t>
  </si>
  <si>
    <t>PLANEJAMENTO PLURIANUAL - PAP - AÇÃO 2.1.2</t>
  </si>
  <si>
    <t>P61.b</t>
  </si>
  <si>
    <t>P61.4</t>
  </si>
  <si>
    <t>P61.1</t>
  </si>
  <si>
    <t>P61.d</t>
  </si>
  <si>
    <t>P61</t>
  </si>
  <si>
    <t>P21</t>
  </si>
  <si>
    <t>P61.3</t>
  </si>
  <si>
    <t>P72</t>
  </si>
  <si>
    <t>P11</t>
  </si>
  <si>
    <t>P23</t>
  </si>
  <si>
    <t>P52</t>
  </si>
  <si>
    <t>P12</t>
  </si>
  <si>
    <t>P51</t>
  </si>
  <si>
    <t>PLANEJAMENTO PLURIANUAL - PAP - AÇÃO 1.11.1</t>
  </si>
  <si>
    <t>1.8.4.5</t>
  </si>
  <si>
    <t>CAIXA</t>
  </si>
  <si>
    <t>Implatantação de PSA no programa "Rio Vivo"</t>
  </si>
  <si>
    <t>PLANEJAMENTO PLURIANUAL - PAP - AÇÃO 2.1.1</t>
  </si>
  <si>
    <t>PLANEJAMENTO PLURIANUAL - PAP - AÇÃO 1.11.4</t>
  </si>
  <si>
    <t>PLANO ORÇAMENTÁRIO ANUAL - POA 2021 - ATENDIMENTO TCU</t>
  </si>
  <si>
    <t>PLANO ORÇAMENTÁRIO ANUAL - POA 2021 - ACOMPANHAMENTO PRH</t>
  </si>
  <si>
    <t>PLANO ORÇAMENTÁRIO ANUAL - POA 2021 - ATUALIZAÇÃO COBRANÇA</t>
  </si>
  <si>
    <t>DIAS TRABALHADOS</t>
  </si>
  <si>
    <t>ENCARGOS SOCIAIS E BENEFÍCIOS</t>
  </si>
  <si>
    <r>
      <t xml:space="preserve">São considerados prioritários, para fins de execução no período de 2016 a 2020, os seguintes programas constantes do Plano Integrado de Recursos Hídricos da Bacia Hidrográfica do Rio Doce – PIRH e Planos de Ações de Recursos Hídricos das Bacias Afluentes – PARHs Doce e </t>
    </r>
    <r>
      <rPr>
        <b/>
        <sz val="12"/>
        <color theme="1"/>
        <rFont val="Calibri"/>
        <family val="2"/>
        <scheme val="minor"/>
      </rPr>
      <t>PAP REVISADO</t>
    </r>
  </si>
  <si>
    <t>1 -</t>
  </si>
  <si>
    <t>PROGRAMAS DE SANEAMENTO</t>
  </si>
  <si>
    <t xml:space="preserve">Programa de saneamento da bacia </t>
  </si>
  <si>
    <t xml:space="preserve">Programa de Saneamento da Bacia: elaboração de projetos para sistemas de coleta e tratamento de esgotos domésticos dos núcleos populacionais da bacia. </t>
  </si>
  <si>
    <t xml:space="preserve">Contempla o apoio à elaboração de Planos Municipais de Saneamento Básico (PMSB) e a elaboração de projetos para otimização de sistemas de abastecimento de água. (Redação dada pela Deliberação nº 81/2019) </t>
  </si>
  <si>
    <t>P42</t>
  </si>
  <si>
    <t xml:space="preserve">Programa de expansão do saneamento rural </t>
  </si>
  <si>
    <t xml:space="preserve">Implantação de sistemas de abastecimento de água e coleta e tratamento de esgoto para população rural, com aproveitamento racional e disposição adequada dos resíduos coletados. </t>
  </si>
  <si>
    <t>PROGRAMAS HIDROAMBIENTAIS</t>
  </si>
  <si>
    <t xml:space="preserve">Programa de controle de atividades geradoras de sedimentos </t>
  </si>
  <si>
    <t xml:space="preserve">Elaboração de diagnóstico específico, com mapeamento, identificação a campo, caracterização de processos erosivos e proposta de remediação de áreas degradadas geradoras de sedimentos, especialmente os relativos às estradas vicinais e caminhos de serviço das propriedades rurais. </t>
  </si>
  <si>
    <t xml:space="preserve">Programa de incremento de disponibilidade hídrica  </t>
  </si>
  <si>
    <t>Consiste no projeto, avaliação ambiental e de viabilidade de propostas de armazenamento, regularização e atendimento das demandas atuais e projetadas nas sub-bacias onde o balanço entre demanda atual e projetada e a oferta de água apresenta uma situação deficitária e que não pode ser corrigida com medidas não estruturais, devendo ser implantado prioritariamente nas sub-bacias dos rios Pancas, Santa Joana, São José, Santa Maria do Doce e região hidrográfica da Barra Seca e pontualmente nas sub-bacias do Piracicaba, Caratinga e Guandu.</t>
  </si>
  <si>
    <t>P22</t>
  </si>
  <si>
    <t xml:space="preserve">Programa de incentivo ao uso racional da água na agricultura </t>
  </si>
  <si>
    <t xml:space="preserve">Identificação de áreas irrigadas em trechos críticos e de áreas com potencial de poluição devido ao beneficiamento de produtos agrícolas para o incentivo à adoção de práticas de conservação e uso racional de água na agricultura. </t>
  </si>
  <si>
    <t xml:space="preserve">Programa de Recomposição de APP’s e nascentes </t>
  </si>
  <si>
    <t xml:space="preserve">Levantamento de áreas críticas e prioritárias para recomposição ou adensamento de matas ciliares e de topos de morro, além de caracterização e recuperação de nascentes e áreas degradadas de sub-bacias piloto. </t>
  </si>
  <si>
    <t>PROGRAMAS TRANSVERSAIS/OUTROS</t>
  </si>
  <si>
    <t xml:space="preserve">Programa de monitoramento e acompanhamento da implementação da gestão integrada dos recursos hídricos  </t>
  </si>
  <si>
    <t xml:space="preserve">Subprograma Cadastramento e Manutenção do Cadastro dos Usos e dos Usuários de Recursos Hídricos da Bacia (P61.1). Subprograma que contempla o fortalecimento dos comitês da bacia segundo o modelo de arranjo institucional elaborado para a bacia (P61.2). </t>
  </si>
  <si>
    <t xml:space="preserve">Sub-programa: cadastramento e manutenção do cadastro dos usuários de recursos hídricos da sub-bacia </t>
  </si>
  <si>
    <t xml:space="preserve">Efetivação de um Plano de Comunicação Social para dar visibilidade às ações e conteúdos do PIRH/PARHs de forma a facilitar a comunicação entre os diversos atores do Sistema de Gestão de Recursos Hídricos com a sociedade e criar um ambiente favorável ao atendimento das metas propostas. </t>
  </si>
  <si>
    <t>Produção e divulgação de peças de comunicação (tais como, folders impressos e eletrônicos, notícias, audiovisuais), incluindo materiais específicos para divulgação dos programas do PAP considerando o público alvo de cada um.</t>
  </si>
  <si>
    <t xml:space="preserve">Registro e organização audiovisual dos eventos e do processo de implementação do PIRH/PARHs. </t>
  </si>
  <si>
    <t xml:space="preserve">Sistema de avaliação sistemática do PIRH por meio de formulário de avaliação a ser preenchido por participantes dos eventos. </t>
  </si>
  <si>
    <t>As cores são referentes aos critérios de hierarquização definidos no PIRH</t>
  </si>
  <si>
    <t>Cor</t>
  </si>
  <si>
    <t>Hierarquia</t>
  </si>
  <si>
    <t>PROGRAMAS PRIORITÁRIOS PIRH - DOCE</t>
  </si>
  <si>
    <t>Relatório mensais da evolução do Plano de Recursos Hídricos</t>
  </si>
  <si>
    <t xml:space="preserve">Participação em eventos técnicos e científicos - ABRH e ABES </t>
  </si>
  <si>
    <t>Acompanhamento da atualização e revisão do Plano de Recursos Hídricos (PRH)</t>
  </si>
  <si>
    <t xml:space="preserve">Elaboração do estudo da cobrança - Escola de Projetos </t>
  </si>
  <si>
    <t xml:space="preserve">Escola de projetos </t>
  </si>
  <si>
    <t>SIMULAÇÃO METAS - CG 2021 a 2025 - DOCE - VALOR ATUAL DE COBRANÇA</t>
  </si>
  <si>
    <t xml:space="preserve">SALDO </t>
  </si>
  <si>
    <t>IPCA</t>
  </si>
  <si>
    <t>NF</t>
  </si>
  <si>
    <t xml:space="preserve">Arrecadação prevista 100% </t>
  </si>
  <si>
    <t>Valor disponível</t>
  </si>
  <si>
    <t>Desembolso anual</t>
  </si>
  <si>
    <t>Saldo anual</t>
  </si>
  <si>
    <t>Multiplo de desembolso</t>
  </si>
  <si>
    <t>Relação saldo inicial/final</t>
  </si>
  <si>
    <t>Elaboração do plano de segurança hídrica para a Bacia do Rio Doce com foco na construção de reservatórios ou barramentos de regularização</t>
  </si>
  <si>
    <t>UGRH</t>
  </si>
  <si>
    <t>Lote</t>
  </si>
  <si>
    <t>Município</t>
  </si>
  <si>
    <t>Empresa</t>
  </si>
  <si>
    <t>Orçamento Execução
P12</t>
  </si>
  <si>
    <t>Orçamento Execução
P42</t>
  </si>
  <si>
    <t>Orçamento Execução
P52</t>
  </si>
  <si>
    <t>Total 
Execução</t>
  </si>
  <si>
    <t>Orçamento Monitoramento
P12</t>
  </si>
  <si>
    <t>Orçamento Monitoramento
P42</t>
  </si>
  <si>
    <t>Orçamento Monitoramento
P52</t>
  </si>
  <si>
    <t>Total 
Monitoramento</t>
  </si>
  <si>
    <t>Mapeamento</t>
  </si>
  <si>
    <t>Saneamento rural</t>
  </si>
  <si>
    <t>Recomposição de APP e nascentes</t>
  </si>
  <si>
    <t>Piranga</t>
  </si>
  <si>
    <t>Amparo do Serra</t>
  </si>
  <si>
    <t>Consominas</t>
  </si>
  <si>
    <t>Barra Longa</t>
  </si>
  <si>
    <t>Desterro do Melo</t>
  </si>
  <si>
    <t>Mariana</t>
  </si>
  <si>
    <t>Oratórios</t>
  </si>
  <si>
    <t>Ponte Nova</t>
  </si>
  <si>
    <t>Ressaquinha</t>
  </si>
  <si>
    <t>SUBTOTAL</t>
  </si>
  <si>
    <t>-</t>
  </si>
  <si>
    <t>Santo Antônio</t>
  </si>
  <si>
    <t>Carmésia</t>
  </si>
  <si>
    <t>Dores de Guanhães</t>
  </si>
  <si>
    <t>Ferros</t>
  </si>
  <si>
    <t>Itambé do Mato Dentro</t>
  </si>
  <si>
    <t>Passabém</t>
  </si>
  <si>
    <t>Santo Antônio do Rio Abaixo</t>
  </si>
  <si>
    <t>São Sebastião do Rio Preto</t>
  </si>
  <si>
    <t>Suaçuí</t>
  </si>
  <si>
    <t>Água Boa</t>
  </si>
  <si>
    <t>Samenco</t>
  </si>
  <si>
    <t>Coluna</t>
  </si>
  <si>
    <t>Franciscópolis</t>
  </si>
  <si>
    <t>Serra Azul de Minas</t>
  </si>
  <si>
    <t xml:space="preserve">ORÇAMENTOS DE EXECUÇÃO E MONITORAMENTO DO RIO VIVO
Comitê de Bacia do Rio Doce
</t>
  </si>
  <si>
    <t xml:space="preserve">PLANEJAMENTO ORÇAMENTÁRIO ANUAL - 2021 </t>
  </si>
  <si>
    <t>PLANO DE APLICAÇÃO PLURIANUAL - PAP 2021 a 2025</t>
  </si>
  <si>
    <t>PAP 2021 a 2025 - sem arredondamento - todas as finalidades, programas e ações</t>
  </si>
  <si>
    <t>24 de novembro de 2020</t>
  </si>
  <si>
    <t>Ano</t>
  </si>
  <si>
    <t xml:space="preserve">Valor total SIGA </t>
  </si>
  <si>
    <t>Aditivo máximo a ser feito</t>
  </si>
  <si>
    <t>SISTEMA DE INFORMAÇÃO - SIGA</t>
  </si>
  <si>
    <t xml:space="preserve">Desta maneira, ao final do período de aplicação do PIRH Doce, o que se deseja para a Bacia, em linhas gerais, segundo os temas norteadores, é: </t>
  </si>
  <si>
    <t>I)</t>
  </si>
  <si>
    <t xml:space="preserve">Qualidade da água </t>
  </si>
  <si>
    <t xml:space="preserve">Melhoria gradativa da qualidade da água nos trechos mais críticos; </t>
  </si>
  <si>
    <t xml:space="preserve">Atendimento ao enquadramento; </t>
  </si>
  <si>
    <t>II)</t>
  </si>
  <si>
    <t xml:space="preserve">Quantidade de água - balanços hídrico </t>
  </si>
  <si>
    <t xml:space="preserve">Atingir um cenário onde não ocorram déficits hídricos, com atendimento aos usos consuntivos; </t>
  </si>
  <si>
    <t xml:space="preserve">Eliminar e gerenciar as situações de conflito de uso, durante todo o ano, predominando os usos mais nobres; </t>
  </si>
  <si>
    <t xml:space="preserve">III) </t>
  </si>
  <si>
    <t xml:space="preserve">Suscetibilidade a enchentes </t>
  </si>
  <si>
    <t xml:space="preserve">Redução de danos quando da ocorrência de enchentes; </t>
  </si>
  <si>
    <t xml:space="preserve">IV) </t>
  </si>
  <si>
    <t xml:space="preserve">Universalização do saneamento </t>
  </si>
  <si>
    <t xml:space="preserve">Melhoria dos indicadores de saneamento (tratamento de esgotos, resíduos sólidos e drenagem urbana); </t>
  </si>
  <si>
    <t xml:space="preserve">V) </t>
  </si>
  <si>
    <t xml:space="preserve">Incremento de áreas legalmente protegidas </t>
  </si>
  <si>
    <t xml:space="preserve">Aumentar o valor de 10% das áreas sob proteção formal (unidades de Conservação e áreas de Preservação Permanente), com pelo menos uma unidade de conservação de proteção integral em cada bacia afluente; </t>
  </si>
  <si>
    <t xml:space="preserve">Instituir uma ação consistente de recomposição de APP na área da bacia; </t>
  </si>
  <si>
    <t xml:space="preserve">VI) </t>
  </si>
  <si>
    <t xml:space="preserve">Implementação dos instrumentos de gestão de recursos hídricos </t>
  </si>
  <si>
    <t xml:space="preserve">Implementação de todos os Instrumentos de Gestão dos Recursos Hídricos (plano de bacia, enquadramento, outorga, cobrança, sistema de informações); </t>
  </si>
  <si>
    <t>VII)</t>
  </si>
  <si>
    <t xml:space="preserve">Implementação das ações do PIRH Doce </t>
  </si>
  <si>
    <t xml:space="preserve">Estabelecer uma estrutura organizacional (material, recursos humanos e de procedimentos) que dê suporte ao gerenciamento das ações do PIRH Doce. </t>
  </si>
  <si>
    <t>OBJETIVOS GERAIS DO PIRH EM RELAÇÃO AOS TEMAS NORTEADORES</t>
  </si>
  <si>
    <t>P13</t>
  </si>
  <si>
    <t xml:space="preserve">Programa de apoio ao controle de efluentes em pequenas e micro empresas </t>
  </si>
  <si>
    <t xml:space="preserve">Programa de redução de perdas no abastecimento público de água </t>
  </si>
  <si>
    <t>P24</t>
  </si>
  <si>
    <t>Implementação do programa “Produtor de Água"</t>
  </si>
  <si>
    <t>P25</t>
  </si>
  <si>
    <t xml:space="preserve">Ações de convivência com a seca  </t>
  </si>
  <si>
    <t>P25.a</t>
  </si>
  <si>
    <t xml:space="preserve">Estudos para avaliação dos efeitos das possíveis mudanças climáticas globais nas relações entre disponibilidades e demandas hídricas e proposição de medidas adaptativas </t>
  </si>
  <si>
    <t>P31</t>
  </si>
  <si>
    <t xml:space="preserve">Programa de convivência com as cheias </t>
  </si>
  <si>
    <t xml:space="preserve">Programa de avaliação ambiental para definição de áreas com restrição de uso </t>
  </si>
  <si>
    <t>P51.a</t>
  </si>
  <si>
    <t xml:space="preserve">Projeto de restrição de uso das áreas de entorno de aproveitamentos hidrelétricos </t>
  </si>
  <si>
    <t>P52.a</t>
  </si>
  <si>
    <t xml:space="preserve">Projeto de recuperação de lagoas assoreadas e degradadas  </t>
  </si>
  <si>
    <t>Sub-programa: gestão de águas subterrâneas</t>
  </si>
  <si>
    <t>Sub-programa: revisão e harmonizaçãodos critérios de outorga</t>
  </si>
  <si>
    <t>Estudos complentares para elaboração de proposta de enquadramento dos corpos d´´agua</t>
  </si>
  <si>
    <t>P61.c</t>
  </si>
  <si>
    <t>Projeto diretrizes para a gestão da região do delta do rio Doce, assim como da região da Planície Costeira do Espírito Santo na bacia do rio Doce</t>
  </si>
  <si>
    <t>Projeto de consolidação de mecanismos de articulação e integração da fiscalização exercida pela ANA, IGAM e IEMA na bacia</t>
  </si>
  <si>
    <t>Projeto de avaliação da aceitação de cobrança</t>
  </si>
  <si>
    <t>P62</t>
  </si>
  <si>
    <t>Programa de monitoramento dos recursos hídricos</t>
  </si>
  <si>
    <t>P62.1</t>
  </si>
  <si>
    <t xml:space="preserve">Sub-programa de levantamentos de dados para preenchimento de falhas ou lacunas de informações constatadas no Diagnóstico da Bacia </t>
  </si>
  <si>
    <t>Programa de educação ambiental</t>
  </si>
  <si>
    <t xml:space="preserve">            CLASSIFICAÇÃO DOS PROGRAMAS, SUBPROGRAMAS E PROJETOS QUANTO A SUA HIERARQUIA</t>
  </si>
  <si>
    <t>Hierarquia - Resumo Executivo do PIRH</t>
  </si>
  <si>
    <t>1.8.1.1</t>
  </si>
  <si>
    <t>Manutenção e ampliação do sistema de alerta a cheias e inundações</t>
  </si>
  <si>
    <t>Realizar levantamento de estruturas hidráulicas para melhoria dos sistemas de abastecimento de água dos municípios da Bacia do Rio Doce com foco na segurança hídrica</t>
  </si>
  <si>
    <t>10 de dezembro de 2020</t>
  </si>
  <si>
    <t>Plano de Aplicação Plurianual consolidado - PAP  2021 a 2025</t>
  </si>
  <si>
    <t>P 61.2</t>
  </si>
  <si>
    <t>P12/P42</t>
  </si>
  <si>
    <t>Estudos, planos, projetos ou intervenções destinadas à conservação de solo para controle da erosão e proteção dos recursos hídricos e Estudos, planos, projetos ou intervenções destinadas à Implantação de sistemas de abastecimento de água e coleta e tratamento de esgoto para população rural</t>
  </si>
  <si>
    <t xml:space="preserve">Estudos, planos, projetos ou intervenções destinadas à Implantação de sistemas de abastecimento de água e coleta e tratamento de esgoto para população rural. </t>
  </si>
  <si>
    <t>ANEXO II</t>
  </si>
  <si>
    <t>Estudos, planos, projetos ou intervenções destinadas à conservação de solo para controle da erosão e proteção dos recursos hídricos e  Estudos, planos, projetos ou intervenções destinadas à Implantação de sistemas de abastecimento de água e coleta e tratamento de esgoto para população rural</t>
  </si>
  <si>
    <t xml:space="preserve">Estudos, planos, projetos ou intervenções destinadas à conservação de solo para controle da erosão e proteção dos recursos hídricos e Estudos, planos, projetos ou intervenções destinadas à Implantação de sistemas de abastecimento de água e coleta e tratamento de esgoto para população rural.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</si>
</sst>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R$&quot;\ * #,##0.00_-;\-&quot;R$&quot;\ * #,##0.00_-;_-&quot;R$&quot;\ * &quot;-&quot;??_-;_-@_-"/>
    <numFmt numFmtId="43" formatCode="_-* #,##0.00_-;\-* #,##0.00_-;_-* &quot;-&quot;??_-;_-@_-"/>
    <numFmt numFmtId="164" formatCode="_-&quot;R$&quot;* #,##0.00_-;\-&quot;R$&quot;* #,##0.00_-;_-&quot;R$&quot;* &quot;-&quot;??_-;_-@_-"/>
    <numFmt numFmtId="165" formatCode="0.000%"/>
    <numFmt numFmtId="166" formatCode="0.0000"/>
    <numFmt numFmtId="167" formatCode="0.00000"/>
    <numFmt numFmtId="168" formatCode="dd/mm/yy;@"/>
    <numFmt numFmtId="169" formatCode="_(* #,##0.00_);_(* \(#,##0.00\);_(* &quot;-&quot;??_);_(@_)"/>
    <numFmt numFmtId="170" formatCode="_(* #,##0_);_(* \(#,##0\);_(* &quot;-&quot;??_);_(@_)"/>
    <numFmt numFmtId="171" formatCode="0.0%"/>
    <numFmt numFmtId="172" formatCode="#,##0.000"/>
    <numFmt numFmtId="173" formatCode="_-* #,##0_-;\-* #,##0_-;_-* &quot;-&quot;??_-;_-@_-"/>
  </numFmts>
  <fonts count="106">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b/>
      <sz val="14"/>
      <color theme="1"/>
      <name val="Calibri"/>
      <family val="2"/>
      <scheme val="minor"/>
    </font>
    <font>
      <sz val="10"/>
      <color theme="1"/>
      <name val="Arial"/>
      <family val="2"/>
    </font>
    <font>
      <b/>
      <sz val="16"/>
      <color theme="1"/>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0"/>
      <name val="Calibri"/>
      <family val="2"/>
      <scheme val="minor"/>
    </font>
    <font>
      <sz val="8"/>
      <name val="Calibri"/>
      <family val="2"/>
      <scheme val="minor"/>
    </font>
    <font>
      <b/>
      <sz val="10"/>
      <name val="Calibri"/>
      <family val="2"/>
      <scheme val="minor"/>
    </font>
    <font>
      <sz val="10"/>
      <color theme="0"/>
      <name val="Calibri"/>
      <family val="2"/>
      <scheme val="minor"/>
    </font>
    <font>
      <sz val="8"/>
      <color theme="1"/>
      <name val="Calibri"/>
      <family val="2"/>
      <scheme val="minor"/>
    </font>
    <font>
      <sz val="8"/>
      <name val="Arial"/>
      <family val="2"/>
    </font>
    <font>
      <sz val="12"/>
      <color theme="1" tint="0.14999847407452621"/>
      <name val="Calibri"/>
      <family val="2"/>
    </font>
    <font>
      <b/>
      <sz val="12"/>
      <color theme="1" tint="0.14999847407452621"/>
      <name val="Calibri"/>
      <family val="2"/>
    </font>
    <font>
      <b/>
      <sz val="11"/>
      <color theme="0"/>
      <name val="Calibri"/>
      <family val="2"/>
    </font>
    <font>
      <sz val="11"/>
      <color theme="1" tint="0.14999847407452621"/>
      <name val="Calibri"/>
      <family val="2"/>
    </font>
    <font>
      <b/>
      <sz val="11"/>
      <color theme="1" tint="0.14999847407452621"/>
      <name val="Calibri"/>
      <family val="2"/>
    </font>
    <font>
      <sz val="8"/>
      <color theme="1" tint="0.14999847407452621"/>
      <name val="Calibri"/>
      <family val="2"/>
    </font>
    <font>
      <sz val="11"/>
      <color theme="0"/>
      <name val="Calibri"/>
      <family val="2"/>
    </font>
    <font>
      <sz val="12"/>
      <color theme="1"/>
      <name val="Calibri"/>
      <family val="2"/>
      <scheme val="minor"/>
    </font>
    <font>
      <sz val="11"/>
      <color theme="1"/>
      <name val="Arial"/>
      <family val="2"/>
    </font>
    <font>
      <b/>
      <sz val="10"/>
      <color theme="0"/>
      <name val="Arial"/>
      <family val="2"/>
    </font>
    <font>
      <b/>
      <sz val="10"/>
      <color theme="1"/>
      <name val="Arial"/>
      <family val="2"/>
    </font>
    <font>
      <b/>
      <sz val="10"/>
      <name val="Arial"/>
      <family val="2"/>
    </font>
    <font>
      <sz val="10"/>
      <name val="Arial"/>
      <family val="2"/>
    </font>
    <font>
      <vertAlign val="superscript"/>
      <sz val="10"/>
      <color theme="1"/>
      <name val="Arial"/>
      <family val="2"/>
    </font>
    <font>
      <b/>
      <vertAlign val="superscript"/>
      <sz val="10"/>
      <color theme="1"/>
      <name val="Arial"/>
      <family val="2"/>
    </font>
    <font>
      <b/>
      <sz val="14"/>
      <color rgb="FF000000"/>
      <name val="Calibri"/>
      <family val="2"/>
    </font>
    <font>
      <sz val="10"/>
      <color rgb="FF000000"/>
      <name val="Calibri"/>
      <family val="2"/>
    </font>
    <font>
      <sz val="11"/>
      <color rgb="FF000000"/>
      <name val="Calibri"/>
      <family val="2"/>
    </font>
    <font>
      <sz val="24"/>
      <color rgb="FFFF0000"/>
      <name val="Calibri"/>
      <family val="2"/>
    </font>
    <font>
      <b/>
      <sz val="11"/>
      <name val="Calibri"/>
      <family val="2"/>
    </font>
    <font>
      <sz val="11"/>
      <name val="Calibri"/>
      <family val="2"/>
    </font>
    <font>
      <b/>
      <sz val="10"/>
      <color rgb="FF000000"/>
      <name val="Calibri"/>
      <family val="2"/>
    </font>
    <font>
      <b/>
      <sz val="11"/>
      <color rgb="FF000000"/>
      <name val="Calibri"/>
      <family val="2"/>
    </font>
    <font>
      <b/>
      <vertAlign val="superscript"/>
      <sz val="10"/>
      <color rgb="FF000000"/>
      <name val="Calibri"/>
      <family val="2"/>
    </font>
    <font>
      <sz val="8"/>
      <color rgb="FF000000"/>
      <name val="Calibri"/>
      <family val="2"/>
    </font>
    <font>
      <sz val="8"/>
      <name val="Arial"/>
      <family val="2"/>
    </font>
    <font>
      <b/>
      <sz val="10"/>
      <color theme="0"/>
      <name val="Calibri"/>
      <family val="2"/>
    </font>
    <font>
      <sz val="11"/>
      <color rgb="FF162937"/>
      <name val="Arial"/>
      <family val="2"/>
    </font>
    <font>
      <b/>
      <sz val="12"/>
      <color theme="1"/>
      <name val="Calibri"/>
      <family val="2"/>
      <scheme val="major"/>
    </font>
    <font>
      <b/>
      <sz val="10"/>
      <color theme="0"/>
      <name val="Calibri"/>
      <family val="2"/>
      <scheme val="major"/>
    </font>
    <font>
      <sz val="12"/>
      <color theme="0"/>
      <name val="Calibri"/>
      <family val="2"/>
      <scheme val="major"/>
    </font>
    <font>
      <b/>
      <i/>
      <sz val="12"/>
      <color theme="0"/>
      <name val="Calibri"/>
      <family val="2"/>
      <scheme val="major"/>
    </font>
    <font>
      <sz val="12"/>
      <color theme="1"/>
      <name val="Calibri"/>
      <family val="2"/>
      <scheme val="major"/>
    </font>
    <font>
      <sz val="12"/>
      <name val="Calibri"/>
      <family val="2"/>
      <scheme val="major"/>
    </font>
    <font>
      <b/>
      <sz val="12"/>
      <color theme="0"/>
      <name val="Calibri"/>
      <family val="2"/>
      <scheme val="major"/>
    </font>
    <font>
      <b/>
      <sz val="12"/>
      <name val="Calibri"/>
      <family val="2"/>
      <scheme val="major"/>
    </font>
    <font>
      <i/>
      <sz val="12"/>
      <name val="Calibri"/>
      <family val="2"/>
      <scheme val="major"/>
    </font>
    <font>
      <b/>
      <i/>
      <sz val="12"/>
      <name val="Calibri"/>
      <family val="2"/>
      <scheme val="major"/>
    </font>
    <font>
      <i/>
      <sz val="12"/>
      <color theme="4" tint="-0.249977111117893"/>
      <name val="Calibri"/>
      <family val="2"/>
      <scheme val="major"/>
    </font>
    <font>
      <sz val="12"/>
      <color theme="1"/>
      <name val="Times New Roman"/>
      <family val="1"/>
    </font>
    <font>
      <sz val="11"/>
      <color theme="1"/>
      <name val="Calibri"/>
      <family val="2"/>
      <scheme val="major"/>
    </font>
    <font>
      <u/>
      <sz val="11"/>
      <color theme="10"/>
      <name val="Arial"/>
      <family val="2"/>
    </font>
    <font>
      <b/>
      <sz val="14"/>
      <color theme="1"/>
      <name val="Arial 10"/>
    </font>
    <font>
      <sz val="10"/>
      <color theme="1"/>
      <name val="Arial 10"/>
    </font>
    <font>
      <b/>
      <sz val="11"/>
      <color theme="1"/>
      <name val="Arial 10"/>
    </font>
    <font>
      <sz val="11"/>
      <name val="Arial 10"/>
    </font>
    <font>
      <b/>
      <sz val="10"/>
      <color theme="1"/>
      <name val="Arial 10"/>
    </font>
    <font>
      <sz val="11"/>
      <color theme="1"/>
      <name val="Arial 10"/>
    </font>
    <font>
      <sz val="10"/>
      <name val="Arial 10"/>
    </font>
    <font>
      <b/>
      <sz val="11"/>
      <color theme="0"/>
      <name val="Arial 10"/>
    </font>
    <font>
      <b/>
      <sz val="11"/>
      <name val="Arial 10"/>
    </font>
    <font>
      <i/>
      <sz val="11"/>
      <name val="Arial 10"/>
    </font>
    <font>
      <b/>
      <i/>
      <sz val="11"/>
      <name val="Arial 10"/>
    </font>
    <font>
      <i/>
      <sz val="9"/>
      <name val="Arial 10"/>
    </font>
    <font>
      <sz val="12"/>
      <color theme="0"/>
      <name val="Arial 10"/>
    </font>
    <font>
      <b/>
      <i/>
      <sz val="12"/>
      <color theme="0"/>
      <name val="Arial 10"/>
    </font>
    <font>
      <i/>
      <sz val="11"/>
      <color theme="4" tint="-0.249977111117893"/>
      <name val="Arial 10"/>
    </font>
    <font>
      <b/>
      <i/>
      <sz val="11"/>
      <color theme="0"/>
      <name val="Arial 10"/>
    </font>
    <font>
      <sz val="10"/>
      <color theme="1"/>
      <name val="Arial  "/>
    </font>
    <font>
      <b/>
      <sz val="10"/>
      <color theme="1"/>
      <name val="Arial  "/>
    </font>
    <font>
      <sz val="10"/>
      <name val="Arial  "/>
    </font>
    <font>
      <b/>
      <sz val="10"/>
      <color theme="0"/>
      <name val="Arial  "/>
    </font>
    <font>
      <b/>
      <sz val="10"/>
      <name val="Arial  "/>
    </font>
    <font>
      <i/>
      <sz val="10"/>
      <name val="Arial  "/>
    </font>
    <font>
      <b/>
      <i/>
      <sz val="10"/>
      <name val="Arial  "/>
    </font>
    <font>
      <sz val="10"/>
      <color theme="0"/>
      <name val="Arial  "/>
    </font>
    <font>
      <b/>
      <i/>
      <sz val="10"/>
      <color theme="0"/>
      <name val="Arial  "/>
    </font>
    <font>
      <i/>
      <sz val="10"/>
      <color theme="4" tint="-0.249977111117893"/>
      <name val="Arial  "/>
    </font>
    <font>
      <b/>
      <u/>
      <sz val="11"/>
      <color theme="10"/>
      <name val="Calibri"/>
      <family val="2"/>
    </font>
    <font>
      <b/>
      <sz val="24"/>
      <color rgb="FFFF0000"/>
      <name val="Calibri"/>
      <family val="2"/>
    </font>
    <font>
      <b/>
      <sz val="11"/>
      <color rgb="FFFFFFFF"/>
      <name val="Calibri"/>
      <family val="2"/>
    </font>
    <font>
      <i/>
      <sz val="12"/>
      <color theme="1"/>
      <name val="Times New Roman"/>
      <family val="1"/>
    </font>
    <font>
      <b/>
      <sz val="12"/>
      <color theme="1"/>
      <name val="Arial  "/>
    </font>
    <font>
      <b/>
      <sz val="12"/>
      <color theme="1"/>
      <name val="Arial"/>
      <family val="2"/>
    </font>
    <font>
      <sz val="10"/>
      <color theme="1"/>
      <name val="Calibri"/>
      <family val="2"/>
      <scheme val="major"/>
    </font>
    <font>
      <b/>
      <sz val="12"/>
      <color theme="1" tint="0.14999847407452621"/>
      <name val="Arial"/>
      <family val="2"/>
    </font>
    <font>
      <b/>
      <sz val="12"/>
      <color theme="1"/>
      <name val="Calibri"/>
      <family val="2"/>
      <scheme val="minor"/>
    </font>
    <font>
      <b/>
      <sz val="12"/>
      <color theme="0"/>
      <name val="Calibri"/>
      <family val="2"/>
      <scheme val="minor"/>
    </font>
    <font>
      <b/>
      <sz val="12"/>
      <name val="Calibri"/>
      <family val="2"/>
      <scheme val="minor"/>
    </font>
    <font>
      <b/>
      <sz val="12"/>
      <color rgb="FF000000"/>
      <name val="Calibri"/>
      <family val="2"/>
      <scheme val="major"/>
    </font>
    <font>
      <b/>
      <sz val="11"/>
      <color theme="0"/>
      <name val="Calibri"/>
      <family val="2"/>
      <scheme val="minor"/>
    </font>
    <font>
      <b/>
      <sz val="11"/>
      <color theme="1"/>
      <name val="Calibri"/>
      <family val="2"/>
      <scheme val="minor"/>
    </font>
    <font>
      <b/>
      <sz val="11"/>
      <color theme="1"/>
      <name val="Calibri"/>
      <family val="2"/>
      <scheme val="major"/>
    </font>
    <font>
      <b/>
      <sz val="14"/>
      <color theme="1"/>
      <name val="Calibri"/>
      <family val="2"/>
      <scheme val="major"/>
    </font>
    <font>
      <b/>
      <sz val="11"/>
      <color theme="0"/>
      <name val="Calibri"/>
      <family val="2"/>
      <scheme val="major"/>
    </font>
    <font>
      <b/>
      <sz val="8"/>
      <color theme="0"/>
      <name val="Calibri"/>
      <family val="2"/>
      <scheme val="major"/>
    </font>
    <font>
      <sz val="11"/>
      <name val="Calibri"/>
      <family val="2"/>
      <scheme val="major"/>
    </font>
    <font>
      <b/>
      <sz val="11"/>
      <name val="Calibri"/>
      <family val="2"/>
      <scheme val="major"/>
    </font>
    <font>
      <sz val="11"/>
      <color theme="0"/>
      <name val="Calibri"/>
      <family val="2"/>
      <scheme val="major"/>
    </font>
  </fonts>
  <fills count="41">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rgb="FF2F75B5"/>
        <bgColor indexed="64"/>
      </patternFill>
    </fill>
    <fill>
      <patternFill patternType="solid">
        <fgColor theme="3" tint="-0.2499465926084170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8" tint="0.79998168889431442"/>
        <bgColor rgb="FFF2F2F2"/>
      </patternFill>
    </fill>
    <fill>
      <patternFill patternType="solid">
        <fgColor theme="0" tint="-0.249977111117893"/>
        <bgColor indexed="64"/>
      </patternFill>
    </fill>
    <fill>
      <patternFill patternType="solid">
        <fgColor theme="3" tint="0.79998168889431442"/>
        <bgColor indexed="64"/>
      </patternFill>
    </fill>
    <fill>
      <patternFill patternType="solid">
        <fgColor theme="1" tint="4.9989318521683403E-2"/>
        <bgColor indexed="64"/>
      </patternFill>
    </fill>
    <fill>
      <patternFill patternType="solid">
        <fgColor theme="9" tint="-0.499984740745262"/>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rgb="FFA9D08E"/>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4B084"/>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FFFFFF"/>
        <bgColor indexed="64"/>
      </patternFill>
    </fill>
    <fill>
      <patternFill patternType="solid">
        <fgColor rgb="FFBF8F00"/>
        <bgColor indexed="64"/>
      </patternFill>
    </fill>
    <fill>
      <patternFill patternType="solid">
        <fgColor rgb="FFFFC000"/>
        <bgColor indexed="64"/>
      </patternFill>
    </fill>
    <fill>
      <patternFill patternType="solid">
        <fgColor theme="7" tint="0.79998168889431442"/>
        <bgColor indexed="64"/>
      </patternFill>
    </fill>
    <fill>
      <patternFill patternType="solid">
        <fgColor theme="7" tint="0.79998168889431442"/>
        <bgColor rgb="FFF2F2F2"/>
      </patternFill>
    </fill>
    <fill>
      <patternFill patternType="solid">
        <fgColor theme="9" tint="0.79998168889431442"/>
        <bgColor rgb="FFF2F2F2"/>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C00000"/>
        <bgColor indexed="64"/>
      </patternFill>
    </fill>
    <fill>
      <patternFill patternType="solid">
        <fgColor rgb="FF00B050"/>
        <bgColor indexed="64"/>
      </patternFill>
    </fill>
    <fill>
      <patternFill patternType="solid">
        <fgColor theme="0" tint="-0.499984740745262"/>
        <bgColor indexed="64"/>
      </patternFill>
    </fill>
  </fills>
  <borders count="86">
    <border>
      <left/>
      <right/>
      <top/>
      <bottom/>
      <diagonal/>
    </border>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top style="thin">
        <color theme="0" tint="-0.14996795556505021"/>
      </top>
      <bottom style="thin">
        <color theme="0" tint="-0.14996795556505021"/>
      </bottom>
      <diagonal/>
    </border>
    <border>
      <left/>
      <right/>
      <top style="thin">
        <color theme="0" tint="-0.24994659260841701"/>
      </top>
      <bottom style="thin">
        <color theme="0"/>
      </bottom>
      <diagonal/>
    </border>
    <border>
      <left/>
      <right/>
      <top style="thin">
        <color theme="0"/>
      </top>
      <bottom style="thin">
        <color theme="0"/>
      </bottom>
      <diagonal/>
    </border>
    <border>
      <left/>
      <right/>
      <top style="thin">
        <color theme="0"/>
      </top>
      <bottom style="thin">
        <color theme="0" tint="-0.24994659260841701"/>
      </bottom>
      <diagonal/>
    </border>
    <border>
      <left/>
      <right/>
      <top style="thin">
        <color theme="0" tint="-0.24994659260841701"/>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auto="1"/>
      </left>
      <right style="thin">
        <color auto="1"/>
      </right>
      <top style="thin">
        <color auto="1"/>
      </top>
      <bottom/>
      <diagonal/>
    </border>
    <border>
      <left/>
      <right style="thin">
        <color theme="0"/>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bottom>
      <diagonal/>
    </border>
    <border>
      <left/>
      <right style="thin">
        <color theme="0"/>
      </right>
      <top style="thin">
        <color theme="0" tint="-0.24994659260841701"/>
      </top>
      <bottom style="thin">
        <color theme="0"/>
      </bottom>
      <diagonal/>
    </border>
    <border>
      <left/>
      <right style="thin">
        <color theme="0"/>
      </right>
      <top style="thin">
        <color theme="0" tint="-0.24994659260841701"/>
      </top>
      <bottom/>
      <diagonal/>
    </border>
    <border>
      <left style="thin">
        <color theme="0"/>
      </left>
      <right/>
      <top style="thin">
        <color theme="0"/>
      </top>
      <bottom style="thin">
        <color theme="0" tint="-0.24994659260841701"/>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right style="thin">
        <color theme="0"/>
      </right>
      <top style="thin">
        <color theme="0"/>
      </top>
      <bottom style="thin">
        <color theme="0" tint="-0.24994659260841701"/>
      </bottom>
      <diagonal/>
    </border>
    <border>
      <left/>
      <right/>
      <top style="thin">
        <color theme="0" tint="-0.2499465926084170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theme="0"/>
      </top>
      <bottom style="thin">
        <color indexed="64"/>
      </bottom>
      <diagonal/>
    </border>
    <border>
      <left style="thin">
        <color indexed="64"/>
      </left>
      <right/>
      <top style="thin">
        <color theme="0"/>
      </top>
      <bottom style="thin">
        <color theme="0"/>
      </bottom>
      <diagonal/>
    </border>
    <border>
      <left style="thin">
        <color auto="1"/>
      </left>
      <right/>
      <top/>
      <bottom/>
      <diagonal/>
    </border>
    <border>
      <left/>
      <right style="thin">
        <color theme="0"/>
      </right>
      <top style="thin">
        <color theme="0"/>
      </top>
      <bottom style="thin">
        <color theme="0"/>
      </bottom>
      <diagonal/>
    </border>
    <border>
      <left/>
      <right/>
      <top style="thin">
        <color theme="0"/>
      </top>
      <bottom/>
      <diagonal/>
    </border>
    <border>
      <left/>
      <right/>
      <top style="thin">
        <color theme="0"/>
      </top>
      <bottom style="thin">
        <color indexed="64"/>
      </bottom>
      <diagonal/>
    </border>
    <border>
      <left style="thin">
        <color auto="1"/>
      </left>
      <right/>
      <top style="thin">
        <color theme="0"/>
      </top>
      <bottom/>
      <diagonal/>
    </border>
    <border>
      <left style="thin">
        <color rgb="FF000000"/>
      </left>
      <right/>
      <top style="thin">
        <color theme="0"/>
      </top>
      <bottom/>
      <diagonal/>
    </border>
    <border>
      <left style="thin">
        <color theme="0"/>
      </left>
      <right style="thin">
        <color indexed="64"/>
      </right>
      <top style="thin">
        <color indexed="64"/>
      </top>
      <bottom style="thin">
        <color indexed="64"/>
      </bottom>
      <diagonal/>
    </border>
    <border>
      <left style="thin">
        <color theme="0"/>
      </left>
      <right/>
      <top style="thin">
        <color indexed="64"/>
      </top>
      <bottom style="thin">
        <color indexed="64"/>
      </bottom>
      <diagonal/>
    </border>
    <border>
      <left/>
      <right/>
      <top/>
      <bottom style="thin">
        <color theme="0" tint="-0.24994659260841701"/>
      </bottom>
      <diagonal/>
    </border>
    <border>
      <left style="thin">
        <color theme="0"/>
      </left>
      <right/>
      <top style="thin">
        <color theme="0" tint="-0.24994659260841701"/>
      </top>
      <bottom/>
      <diagonal/>
    </border>
    <border>
      <left style="thin">
        <color theme="0"/>
      </left>
      <right/>
      <top/>
      <bottom style="thin">
        <color theme="0" tint="-0.24994659260841701"/>
      </bottom>
      <diagonal/>
    </border>
    <border>
      <left style="thin">
        <color theme="0"/>
      </left>
      <right style="thin">
        <color theme="0"/>
      </right>
      <top style="thin">
        <color theme="0" tint="-0.24994659260841701"/>
      </top>
      <bottom/>
      <diagonal/>
    </border>
    <border>
      <left style="thin">
        <color theme="0"/>
      </left>
      <right style="thin">
        <color theme="0"/>
      </right>
      <top/>
      <bottom style="thin">
        <color theme="0" tint="-0.24994659260841701"/>
      </bottom>
      <diagonal/>
    </border>
    <border>
      <left/>
      <right style="thin">
        <color theme="0"/>
      </right>
      <top/>
      <bottom style="thin">
        <color theme="0" tint="-0.24994659260841701"/>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auto="1"/>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auto="1"/>
      </right>
      <top style="thin">
        <color rgb="FF000000"/>
      </top>
      <bottom/>
      <diagonal/>
    </border>
    <border>
      <left style="thin">
        <color rgb="FF000000"/>
      </left>
      <right/>
      <top/>
      <bottom style="thin">
        <color rgb="FF000000"/>
      </bottom>
      <diagonal/>
    </border>
    <border>
      <left/>
      <right style="thin">
        <color auto="1"/>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auto="1"/>
      </right>
      <top/>
      <bottom/>
      <diagonal/>
    </border>
    <border>
      <left style="thin">
        <color indexed="64"/>
      </left>
      <right/>
      <top/>
      <bottom style="thin">
        <color indexed="64"/>
      </bottom>
      <diagonal/>
    </border>
    <border>
      <left/>
      <right/>
      <top/>
      <bottom style="thin">
        <color indexed="64"/>
      </bottom>
      <diagonal/>
    </border>
    <border>
      <left/>
      <right style="thin">
        <color auto="1"/>
      </right>
      <top/>
      <bottom style="thin">
        <color indexed="64"/>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rgb="FF000000"/>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8">
    <xf numFmtId="0" fontId="0" fillId="0" borderId="0"/>
    <xf numFmtId="9" fontId="4" fillId="0" borderId="0" applyFont="0" applyFill="0" applyBorder="0" applyAlignment="0" applyProtection="0"/>
    <xf numFmtId="0" fontId="3" fillId="0" borderId="1"/>
    <xf numFmtId="9" fontId="3" fillId="0" borderId="1" applyFont="0" applyFill="0" applyBorder="0" applyAlignment="0" applyProtection="0"/>
    <xf numFmtId="43" fontId="25" fillId="0" borderId="0" applyFont="0" applyFill="0" applyBorder="0" applyAlignment="0" applyProtection="0"/>
    <xf numFmtId="169" fontId="2" fillId="0" borderId="1" applyFont="0" applyFill="0" applyBorder="0" applyAlignment="0" applyProtection="0"/>
    <xf numFmtId="0" fontId="58" fillId="0" borderId="0" applyNumberFormat="0" applyFill="0" applyBorder="0" applyAlignment="0" applyProtection="0"/>
    <xf numFmtId="0" fontId="1" fillId="0" borderId="1"/>
  </cellStyleXfs>
  <cellXfs count="1049">
    <xf numFmtId="0" fontId="0" fillId="0" borderId="0" xfId="0" applyFont="1" applyAlignment="1"/>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5" fillId="0" borderId="1" xfId="0" applyFont="1" applyBorder="1" applyAlignment="1">
      <alignment vertical="center"/>
    </xf>
    <xf numFmtId="2" fontId="6" fillId="0" borderId="0" xfId="0" applyNumberFormat="1" applyFont="1"/>
    <xf numFmtId="0" fontId="8" fillId="0" borderId="0" xfId="0" applyFont="1" applyAlignment="1">
      <alignment horizontal="center" vertical="center"/>
    </xf>
    <xf numFmtId="0" fontId="9" fillId="0" borderId="0" xfId="0" applyFont="1"/>
    <xf numFmtId="0" fontId="7" fillId="0" borderId="0" xfId="0" applyFont="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4" fontId="13" fillId="6" borderId="0" xfId="0" applyNumberFormat="1" applyFont="1" applyFill="1" applyAlignment="1">
      <alignment horizontal="center" vertical="center"/>
    </xf>
    <xf numFmtId="3" fontId="13" fillId="6" borderId="0" xfId="0" applyNumberFormat="1" applyFont="1" applyFill="1" applyAlignment="1">
      <alignment horizontal="center" vertical="center"/>
    </xf>
    <xf numFmtId="0" fontId="8" fillId="0" borderId="0" xfId="0" applyFont="1" applyAlignment="1">
      <alignment horizontal="left" vertical="center"/>
    </xf>
    <xf numFmtId="3" fontId="8" fillId="0" borderId="0" xfId="0" applyNumberFormat="1" applyFont="1" applyAlignment="1">
      <alignment horizontal="center" vertical="center"/>
    </xf>
    <xf numFmtId="3" fontId="8" fillId="6" borderId="0" xfId="0" applyNumberFormat="1" applyFont="1" applyFill="1" applyAlignment="1">
      <alignment horizontal="center" vertical="center"/>
    </xf>
    <xf numFmtId="4" fontId="8" fillId="0" borderId="0" xfId="0" applyNumberFormat="1" applyFont="1" applyAlignment="1">
      <alignment horizontal="center" vertical="center"/>
    </xf>
    <xf numFmtId="0" fontId="13" fillId="7" borderId="0" xfId="0" applyFont="1" applyFill="1" applyAlignment="1">
      <alignment horizontal="left" vertical="center"/>
    </xf>
    <xf numFmtId="3" fontId="13" fillId="7" borderId="0" xfId="0" applyNumberFormat="1" applyFont="1" applyFill="1" applyAlignment="1">
      <alignment horizontal="center" vertical="center"/>
    </xf>
    <xf numFmtId="2" fontId="8" fillId="0" borderId="0" xfId="0" applyNumberFormat="1" applyFont="1" applyAlignment="1">
      <alignment horizontal="center" vertical="center"/>
    </xf>
    <xf numFmtId="0" fontId="14" fillId="2" borderId="0" xfId="0" applyFont="1" applyFill="1" applyAlignment="1">
      <alignment horizontal="center" vertical="center"/>
    </xf>
    <xf numFmtId="0" fontId="11" fillId="2" borderId="0" xfId="0" applyFont="1" applyFill="1" applyAlignment="1">
      <alignment horizontal="center" vertical="center"/>
    </xf>
    <xf numFmtId="4" fontId="11" fillId="2" borderId="0" xfId="0" applyNumberFormat="1" applyFont="1" applyFill="1" applyAlignment="1">
      <alignment horizontal="center" vertical="center"/>
    </xf>
    <xf numFmtId="3" fontId="14" fillId="2" borderId="0" xfId="0" applyNumberFormat="1" applyFont="1" applyFill="1" applyAlignment="1">
      <alignment horizontal="center" vertical="center"/>
    </xf>
    <xf numFmtId="9" fontId="9" fillId="0" borderId="0" xfId="1" applyFont="1"/>
    <xf numFmtId="0" fontId="15" fillId="0" borderId="0" xfId="0" applyFont="1"/>
    <xf numFmtId="0" fontId="9" fillId="0" borderId="0" xfId="0" applyFont="1" applyAlignment="1">
      <alignment horizontal="center"/>
    </xf>
    <xf numFmtId="0" fontId="17" fillId="0" borderId="1" xfId="2" applyFont="1" applyAlignment="1">
      <alignment horizontal="center" vertical="center"/>
    </xf>
    <xf numFmtId="0" fontId="18" fillId="0" borderId="0" xfId="0" applyFont="1" applyAlignment="1">
      <alignment horizontal="center"/>
    </xf>
    <xf numFmtId="0" fontId="18" fillId="0" borderId="0" xfId="0" applyFont="1" applyAlignment="1">
      <alignment horizontal="center" vertical="center" wrapText="1"/>
    </xf>
    <xf numFmtId="0" fontId="19" fillId="2" borderId="1" xfId="2" applyFont="1" applyFill="1" applyAlignment="1">
      <alignment horizontal="center" vertical="center"/>
    </xf>
    <xf numFmtId="0" fontId="19" fillId="2" borderId="1" xfId="2" applyFont="1" applyFill="1" applyAlignment="1">
      <alignment horizontal="center" vertical="center" wrapText="1"/>
    </xf>
    <xf numFmtId="3" fontId="19" fillId="2" borderId="1" xfId="2" applyNumberFormat="1" applyFont="1" applyFill="1" applyAlignment="1">
      <alignment horizontal="center" vertical="center" wrapText="1"/>
    </xf>
    <xf numFmtId="0" fontId="20" fillId="0" borderId="1" xfId="2" applyFont="1" applyAlignment="1">
      <alignment horizontal="center" vertical="center"/>
    </xf>
    <xf numFmtId="3" fontId="20" fillId="0" borderId="1" xfId="2" applyNumberFormat="1" applyFont="1" applyAlignment="1">
      <alignment horizontal="center" vertical="center"/>
    </xf>
    <xf numFmtId="3" fontId="20" fillId="0" borderId="1" xfId="2" applyNumberFormat="1" applyFont="1" applyAlignment="1">
      <alignment horizontal="left" vertical="center"/>
    </xf>
    <xf numFmtId="0" fontId="20" fillId="0" borderId="1" xfId="2" applyFont="1" applyAlignment="1">
      <alignment horizontal="left" vertical="center"/>
    </xf>
    <xf numFmtId="0" fontId="21" fillId="3" borderId="16" xfId="2" applyFont="1" applyFill="1" applyBorder="1" applyAlignment="1">
      <alignment horizontal="left" vertical="center"/>
    </xf>
    <xf numFmtId="4" fontId="19" fillId="8" borderId="17" xfId="2" applyNumberFormat="1" applyFont="1" applyFill="1" applyBorder="1" applyAlignment="1">
      <alignment horizontal="center" vertical="center"/>
    </xf>
    <xf numFmtId="3" fontId="20" fillId="3" borderId="16" xfId="2" applyNumberFormat="1" applyFont="1" applyFill="1" applyBorder="1" applyAlignment="1">
      <alignment vertical="center"/>
    </xf>
    <xf numFmtId="3" fontId="22" fillId="3" borderId="16" xfId="2" applyNumberFormat="1" applyFont="1" applyFill="1" applyBorder="1" applyAlignment="1">
      <alignment horizontal="left" vertical="center"/>
    </xf>
    <xf numFmtId="0" fontId="20" fillId="3" borderId="16" xfId="2" applyFont="1" applyFill="1" applyBorder="1" applyAlignment="1">
      <alignment horizontal="center" vertical="center"/>
    </xf>
    <xf numFmtId="0" fontId="20" fillId="3" borderId="16" xfId="2" applyFont="1" applyFill="1" applyBorder="1" applyAlignment="1">
      <alignment horizontal="left" vertical="center"/>
    </xf>
    <xf numFmtId="3" fontId="20" fillId="5" borderId="18" xfId="2" applyNumberFormat="1" applyFont="1" applyFill="1" applyBorder="1" applyAlignment="1">
      <alignment horizontal="center" vertical="center"/>
    </xf>
    <xf numFmtId="3" fontId="20" fillId="3" borderId="16" xfId="2" applyNumberFormat="1" applyFont="1" applyFill="1" applyBorder="1" applyAlignment="1">
      <alignment horizontal="left" vertical="center"/>
    </xf>
    <xf numFmtId="0" fontId="22" fillId="3" borderId="16" xfId="2" applyFont="1" applyFill="1" applyBorder="1" applyAlignment="1">
      <alignment horizontal="left" vertical="center"/>
    </xf>
    <xf numFmtId="4" fontId="20" fillId="9" borderId="18" xfId="2" applyNumberFormat="1" applyFont="1" applyFill="1" applyBorder="1" applyAlignment="1">
      <alignment horizontal="center" vertical="center"/>
    </xf>
    <xf numFmtId="3" fontId="20" fillId="9" borderId="18" xfId="2" applyNumberFormat="1" applyFont="1" applyFill="1" applyBorder="1" applyAlignment="1">
      <alignment horizontal="center" vertical="center"/>
    </xf>
    <xf numFmtId="0" fontId="20" fillId="3" borderId="16" xfId="2" applyFont="1" applyFill="1" applyBorder="1" applyAlignment="1">
      <alignment vertical="center" wrapText="1"/>
    </xf>
    <xf numFmtId="0" fontId="22" fillId="3" borderId="16" xfId="2" applyFont="1" applyFill="1" applyBorder="1" applyAlignment="1">
      <alignment horizontal="left" vertical="center" wrapText="1"/>
    </xf>
    <xf numFmtId="4" fontId="20" fillId="9" borderId="19" xfId="2" applyNumberFormat="1" applyFont="1" applyFill="1" applyBorder="1" applyAlignment="1">
      <alignment horizontal="center" vertical="center"/>
    </xf>
    <xf numFmtId="3" fontId="21" fillId="3" borderId="16" xfId="2" applyNumberFormat="1" applyFont="1" applyFill="1" applyBorder="1" applyAlignment="1">
      <alignment vertical="center"/>
    </xf>
    <xf numFmtId="0" fontId="21" fillId="3" borderId="16" xfId="2" applyFont="1" applyFill="1" applyBorder="1" applyAlignment="1">
      <alignment horizontal="center" vertical="center"/>
    </xf>
    <xf numFmtId="4" fontId="21" fillId="9" borderId="18" xfId="2" applyNumberFormat="1" applyFont="1" applyFill="1" applyBorder="1" applyAlignment="1">
      <alignment horizontal="center" vertical="center"/>
    </xf>
    <xf numFmtId="0" fontId="20" fillId="3" borderId="16" xfId="2" applyFont="1" applyFill="1" applyBorder="1" applyAlignment="1">
      <alignment horizontal="right" vertical="center"/>
    </xf>
    <xf numFmtId="3" fontId="21" fillId="9" borderId="18" xfId="2" applyNumberFormat="1" applyFont="1" applyFill="1" applyBorder="1" applyAlignment="1">
      <alignment horizontal="center" vertical="center"/>
    </xf>
    <xf numFmtId="3" fontId="20" fillId="5" borderId="19" xfId="2" applyNumberFormat="1" applyFont="1" applyFill="1" applyBorder="1" applyAlignment="1">
      <alignment horizontal="center" vertical="center"/>
    </xf>
    <xf numFmtId="3" fontId="19" fillId="8" borderId="20" xfId="2" applyNumberFormat="1" applyFont="1" applyFill="1" applyBorder="1" applyAlignment="1">
      <alignment horizontal="center" vertical="center"/>
    </xf>
    <xf numFmtId="3" fontId="21" fillId="3" borderId="16" xfId="2" applyNumberFormat="1" applyFont="1" applyFill="1" applyBorder="1" applyAlignment="1">
      <alignment horizontal="left" vertical="center"/>
    </xf>
    <xf numFmtId="0" fontId="23" fillId="2" borderId="1" xfId="2" applyFont="1" applyFill="1" applyAlignment="1">
      <alignment horizontal="center" vertical="center"/>
    </xf>
    <xf numFmtId="0" fontId="19" fillId="2" borderId="1" xfId="2" applyFont="1" applyFill="1" applyAlignment="1">
      <alignment horizontal="left" vertical="center"/>
    </xf>
    <xf numFmtId="4" fontId="19" fillId="2" borderId="1" xfId="2" applyNumberFormat="1" applyFont="1" applyFill="1" applyAlignment="1">
      <alignment horizontal="center" vertical="center"/>
    </xf>
    <xf numFmtId="3" fontId="19" fillId="2" borderId="1" xfId="2" applyNumberFormat="1" applyFont="1" applyFill="1" applyAlignment="1">
      <alignment horizontal="left" vertical="center"/>
    </xf>
    <xf numFmtId="0" fontId="23" fillId="2" borderId="1" xfId="2" applyFont="1" applyFill="1" applyAlignment="1">
      <alignment horizontal="left" vertical="center"/>
    </xf>
    <xf numFmtId="3" fontId="17" fillId="0" borderId="1" xfId="2" applyNumberFormat="1" applyFont="1" applyAlignment="1">
      <alignment horizontal="center" vertical="center"/>
    </xf>
    <xf numFmtId="3" fontId="17" fillId="0" borderId="1" xfId="2" applyNumberFormat="1" applyFont="1" applyAlignment="1">
      <alignment horizontal="left" vertical="center"/>
    </xf>
    <xf numFmtId="0" fontId="17" fillId="0" borderId="1" xfId="2" applyFont="1" applyAlignment="1">
      <alignment horizontal="left" vertical="center"/>
    </xf>
    <xf numFmtId="4" fontId="13" fillId="7" borderId="0" xfId="1" applyNumberFormat="1" applyFont="1" applyFill="1" applyAlignment="1">
      <alignment horizontal="center" vertical="center"/>
    </xf>
    <xf numFmtId="0" fontId="8" fillId="4" borderId="0" xfId="0" applyFont="1" applyFill="1" applyAlignment="1">
      <alignment horizontal="center" vertical="center"/>
    </xf>
    <xf numFmtId="165" fontId="9" fillId="0" borderId="0" xfId="0" applyNumberFormat="1" applyFont="1"/>
    <xf numFmtId="166" fontId="9" fillId="0" borderId="0" xfId="0" applyNumberFormat="1" applyFont="1"/>
    <xf numFmtId="167" fontId="9" fillId="0" borderId="0" xfId="0" applyNumberFormat="1" applyFont="1"/>
    <xf numFmtId="4" fontId="9" fillId="0" borderId="0" xfId="0" applyNumberFormat="1" applyFont="1"/>
    <xf numFmtId="0" fontId="24" fillId="0" borderId="0" xfId="0" applyFont="1"/>
    <xf numFmtId="0" fontId="9" fillId="0" borderId="0" xfId="0" applyFont="1" applyAlignment="1">
      <alignment horizontal="center" vertical="center"/>
    </xf>
    <xf numFmtId="9" fontId="9" fillId="0" borderId="0" xfId="0" applyNumberFormat="1" applyFont="1" applyAlignment="1">
      <alignment horizontal="center" vertical="center"/>
    </xf>
    <xf numFmtId="10" fontId="9" fillId="0" borderId="0" xfId="1" applyNumberFormat="1" applyFont="1"/>
    <xf numFmtId="4" fontId="9" fillId="0" borderId="0" xfId="0" applyNumberFormat="1" applyFont="1" applyAlignment="1">
      <alignment horizontal="center" vertical="center"/>
    </xf>
    <xf numFmtId="166" fontId="9" fillId="0" borderId="0" xfId="0" applyNumberFormat="1" applyFont="1" applyAlignment="1">
      <alignment horizontal="center" vertical="center"/>
    </xf>
    <xf numFmtId="0" fontId="9" fillId="0" borderId="0" xfId="0" applyFont="1" applyAlignment="1">
      <alignment vertical="center"/>
    </xf>
    <xf numFmtId="10" fontId="9" fillId="0" borderId="0" xfId="1" applyNumberFormat="1" applyFont="1" applyAlignment="1">
      <alignment vertical="center"/>
    </xf>
    <xf numFmtId="2" fontId="9" fillId="0" borderId="0" xfId="0" applyNumberFormat="1" applyFont="1"/>
    <xf numFmtId="2" fontId="26" fillId="2" borderId="1" xfId="0" applyNumberFormat="1" applyFont="1" applyFill="1" applyBorder="1" applyAlignment="1">
      <alignment horizontal="center" vertical="center"/>
    </xf>
    <xf numFmtId="2" fontId="26" fillId="2" borderId="1" xfId="0" applyNumberFormat="1" applyFont="1" applyFill="1" applyBorder="1" applyAlignment="1">
      <alignment vertical="center"/>
    </xf>
    <xf numFmtId="4" fontId="26" fillId="2" borderId="1" xfId="0" applyNumberFormat="1" applyFont="1" applyFill="1" applyBorder="1" applyAlignment="1">
      <alignment vertical="center"/>
    </xf>
    <xf numFmtId="2" fontId="6" fillId="0" borderId="0" xfId="0" applyNumberFormat="1" applyFont="1" applyAlignment="1">
      <alignment horizontal="center"/>
    </xf>
    <xf numFmtId="2" fontId="27" fillId="0" borderId="0" xfId="0" applyNumberFormat="1" applyFont="1" applyAlignment="1">
      <alignment horizontal="center"/>
    </xf>
    <xf numFmtId="2" fontId="26" fillId="2" borderId="11" xfId="0" applyNumberFormat="1" applyFont="1" applyFill="1" applyBorder="1" applyAlignment="1">
      <alignment horizontal="center"/>
    </xf>
    <xf numFmtId="2" fontId="26" fillId="2" borderId="15" xfId="0" applyNumberFormat="1" applyFont="1" applyFill="1" applyBorder="1" applyAlignment="1">
      <alignment horizontal="center"/>
    </xf>
    <xf numFmtId="2" fontId="26" fillId="2" borderId="13" xfId="0" applyNumberFormat="1" applyFont="1" applyFill="1" applyBorder="1" applyAlignment="1">
      <alignment horizontal="center"/>
    </xf>
    <xf numFmtId="2" fontId="26" fillId="2" borderId="14" xfId="0" applyNumberFormat="1" applyFont="1" applyFill="1" applyBorder="1" applyAlignment="1">
      <alignment horizontal="center"/>
    </xf>
    <xf numFmtId="1" fontId="27" fillId="5" borderId="1" xfId="0" applyNumberFormat="1" applyFont="1" applyFill="1" applyBorder="1" applyAlignment="1">
      <alignment horizontal="center" vertical="center"/>
    </xf>
    <xf numFmtId="2" fontId="27" fillId="5" borderId="1" xfId="0" applyNumberFormat="1" applyFont="1" applyFill="1" applyBorder="1" applyAlignment="1">
      <alignment horizontal="left" vertical="center"/>
    </xf>
    <xf numFmtId="2" fontId="28" fillId="5" borderId="1" xfId="4" applyNumberFormat="1" applyFont="1" applyFill="1" applyBorder="1" applyAlignment="1">
      <alignment horizontal="right" vertical="center"/>
    </xf>
    <xf numFmtId="4" fontId="28" fillId="5" borderId="1" xfId="4" applyNumberFormat="1" applyFont="1" applyFill="1" applyBorder="1" applyAlignment="1">
      <alignment horizontal="right" vertical="center"/>
    </xf>
    <xf numFmtId="2" fontId="27" fillId="0" borderId="0" xfId="0" applyNumberFormat="1" applyFont="1"/>
    <xf numFmtId="1" fontId="27" fillId="0" borderId="1" xfId="0" applyNumberFormat="1" applyFont="1" applyBorder="1" applyAlignment="1">
      <alignment horizontal="right"/>
    </xf>
    <xf numFmtId="4" fontId="29" fillId="0" borderId="1" xfId="4" applyNumberFormat="1" applyFont="1" applyFill="1" applyBorder="1" applyAlignment="1">
      <alignment horizontal="justify" vertical="center" wrapText="1"/>
    </xf>
    <xf numFmtId="4" fontId="29" fillId="0" borderId="1" xfId="4" applyNumberFormat="1" applyFont="1" applyBorder="1" applyAlignment="1">
      <alignment horizontal="right" vertical="center"/>
    </xf>
    <xf numFmtId="10" fontId="6" fillId="0" borderId="1" xfId="1" applyNumberFormat="1" applyFont="1" applyBorder="1" applyAlignment="1">
      <alignment horizontal="center" vertical="center"/>
    </xf>
    <xf numFmtId="4" fontId="28" fillId="0" borderId="1" xfId="4" applyNumberFormat="1" applyFont="1" applyFill="1" applyBorder="1" applyAlignment="1">
      <alignment horizontal="right" vertical="center"/>
    </xf>
    <xf numFmtId="2" fontId="6" fillId="0" borderId="0" xfId="0" applyNumberFormat="1" applyFont="1" applyAlignment="1">
      <alignment wrapText="1"/>
    </xf>
    <xf numFmtId="1" fontId="27" fillId="10" borderId="1" xfId="0" applyNumberFormat="1" applyFont="1" applyFill="1" applyBorder="1" applyAlignment="1">
      <alignment horizontal="right"/>
    </xf>
    <xf numFmtId="2" fontId="27" fillId="10" borderId="1" xfId="0" applyNumberFormat="1" applyFont="1" applyFill="1" applyBorder="1" applyAlignment="1">
      <alignment horizontal="left" vertical="center"/>
    </xf>
    <xf numFmtId="4" fontId="28" fillId="10" borderId="1" xfId="4" applyNumberFormat="1" applyFont="1" applyFill="1" applyBorder="1" applyAlignment="1">
      <alignment horizontal="right" vertical="center"/>
    </xf>
    <xf numFmtId="1" fontId="28" fillId="10" borderId="1" xfId="4" applyNumberFormat="1" applyFont="1" applyFill="1" applyBorder="1" applyAlignment="1">
      <alignment horizontal="center" vertical="center"/>
    </xf>
    <xf numFmtId="2" fontId="6" fillId="0" borderId="1" xfId="0" applyNumberFormat="1" applyFont="1" applyBorder="1" applyAlignment="1">
      <alignment horizontal="left" vertical="center"/>
    </xf>
    <xf numFmtId="1" fontId="28" fillId="0" borderId="1" xfId="4" applyNumberFormat="1" applyFont="1" applyFill="1" applyBorder="1" applyAlignment="1">
      <alignment horizontal="right" vertical="center"/>
    </xf>
    <xf numFmtId="1" fontId="6" fillId="10" borderId="1" xfId="0" applyNumberFormat="1" applyFont="1" applyFill="1" applyBorder="1" applyAlignment="1">
      <alignment horizontal="center" vertical="center"/>
    </xf>
    <xf numFmtId="2" fontId="6" fillId="10" borderId="1" xfId="0" applyNumberFormat="1" applyFont="1" applyFill="1" applyBorder="1" applyAlignment="1">
      <alignment horizontal="left" vertical="center"/>
    </xf>
    <xf numFmtId="1" fontId="28" fillId="10" borderId="1" xfId="1" applyNumberFormat="1" applyFont="1" applyFill="1" applyBorder="1" applyAlignment="1">
      <alignment horizontal="center" vertical="center"/>
    </xf>
    <xf numFmtId="2" fontId="6" fillId="0" borderId="1" xfId="0" applyNumberFormat="1" applyFont="1" applyBorder="1" applyAlignment="1">
      <alignment horizontal="right" vertical="center" indent="4"/>
    </xf>
    <xf numFmtId="1" fontId="29" fillId="0" borderId="1" xfId="4" applyNumberFormat="1" applyFont="1" applyBorder="1" applyAlignment="1">
      <alignment horizontal="center" vertical="center"/>
    </xf>
    <xf numFmtId="2" fontId="29" fillId="0" borderId="1" xfId="4" applyNumberFormat="1" applyFont="1" applyBorder="1" applyAlignment="1">
      <alignment horizontal="right" vertical="center"/>
    </xf>
    <xf numFmtId="1" fontId="29" fillId="0" borderId="1" xfId="4" applyNumberFormat="1" applyFont="1" applyBorder="1" applyAlignment="1">
      <alignment horizontal="right" vertical="center"/>
    </xf>
    <xf numFmtId="2" fontId="27" fillId="5" borderId="1" xfId="0" applyNumberFormat="1" applyFont="1" applyFill="1" applyBorder="1" applyAlignment="1">
      <alignment horizontal="center" vertical="center"/>
    </xf>
    <xf numFmtId="3" fontId="28" fillId="5" borderId="1" xfId="4" applyNumberFormat="1" applyFont="1" applyFill="1" applyBorder="1" applyAlignment="1">
      <alignment horizontal="center" vertical="center"/>
    </xf>
    <xf numFmtId="2" fontId="6" fillId="0" borderId="0" xfId="0" applyNumberFormat="1" applyFont="1" applyAlignment="1">
      <alignment horizontal="left"/>
    </xf>
    <xf numFmtId="2" fontId="6" fillId="0" borderId="1" xfId="0" applyNumberFormat="1" applyFont="1" applyBorder="1" applyAlignment="1">
      <alignment horizontal="center" vertical="center"/>
    </xf>
    <xf numFmtId="4" fontId="26" fillId="2" borderId="1" xfId="0" applyNumberFormat="1" applyFont="1" applyFill="1" applyBorder="1" applyAlignment="1">
      <alignment horizontal="right" vertical="center"/>
    </xf>
    <xf numFmtId="2" fontId="6" fillId="0" borderId="0" xfId="0" applyNumberFormat="1" applyFont="1" applyAlignment="1">
      <alignment vertical="center"/>
    </xf>
    <xf numFmtId="0" fontId="33" fillId="0" borderId="0" xfId="0" applyFont="1"/>
    <xf numFmtId="0" fontId="34" fillId="0" borderId="0" xfId="0" applyFont="1" applyAlignment="1">
      <alignment vertical="center"/>
    </xf>
    <xf numFmtId="0" fontId="34" fillId="0" borderId="22" xfId="0" applyFont="1" applyBorder="1" applyAlignment="1">
      <alignment horizontal="center" vertical="center"/>
    </xf>
    <xf numFmtId="0" fontId="19" fillId="2" borderId="23"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34" fillId="0" borderId="21" xfId="0" applyFont="1" applyBorder="1" applyAlignment="1">
      <alignment horizontal="center" vertical="center"/>
    </xf>
    <xf numFmtId="10" fontId="27" fillId="0" borderId="0" xfId="1" applyNumberFormat="1" applyFont="1" applyAlignment="1">
      <alignment horizontal="center" vertical="center"/>
    </xf>
    <xf numFmtId="1" fontId="6" fillId="0" borderId="1" xfId="0" applyNumberFormat="1" applyFont="1" applyFill="1" applyBorder="1" applyAlignment="1">
      <alignment horizontal="center"/>
    </xf>
    <xf numFmtId="2" fontId="6" fillId="0" borderId="1" xfId="0" applyNumberFormat="1" applyFont="1" applyFill="1" applyBorder="1" applyAlignment="1">
      <alignment horizontal="right" vertical="center" indent="4"/>
    </xf>
    <xf numFmtId="4" fontId="29" fillId="0" borderId="1" xfId="4" applyNumberFormat="1" applyFont="1" applyFill="1" applyBorder="1" applyAlignment="1">
      <alignment horizontal="right" vertical="center"/>
    </xf>
    <xf numFmtId="2" fontId="29" fillId="0" borderId="1" xfId="4" applyNumberFormat="1" applyFont="1" applyFill="1" applyBorder="1" applyAlignment="1">
      <alignment horizontal="right" vertical="center"/>
    </xf>
    <xf numFmtId="2" fontId="6" fillId="0" borderId="1" xfId="0" applyNumberFormat="1" applyFont="1" applyFill="1" applyBorder="1" applyAlignment="1">
      <alignment horizontal="center"/>
    </xf>
    <xf numFmtId="43" fontId="29" fillId="0" borderId="1" xfId="4" applyFont="1" applyFill="1" applyBorder="1" applyAlignment="1">
      <alignment horizontal="right" vertical="center"/>
    </xf>
    <xf numFmtId="3" fontId="29" fillId="0" borderId="1" xfId="4" applyNumberFormat="1" applyFont="1" applyFill="1" applyBorder="1" applyAlignment="1">
      <alignment horizontal="right" vertical="center"/>
    </xf>
    <xf numFmtId="9" fontId="26" fillId="2" borderId="0" xfId="1" applyFont="1" applyFill="1" applyAlignment="1">
      <alignment horizontal="center" vertical="center"/>
    </xf>
    <xf numFmtId="1" fontId="26" fillId="2" borderId="0" xfId="0" applyNumberFormat="1" applyFont="1" applyFill="1" applyAlignment="1">
      <alignment horizontal="center" vertical="center"/>
    </xf>
    <xf numFmtId="2" fontId="6" fillId="0" borderId="1" xfId="0" applyNumberFormat="1" applyFont="1" applyFill="1" applyBorder="1" applyAlignment="1">
      <alignment horizontal="right" vertical="center"/>
    </xf>
    <xf numFmtId="2" fontId="6" fillId="0" borderId="1" xfId="0" applyNumberFormat="1" applyFont="1" applyFill="1" applyBorder="1" applyAlignment="1">
      <alignment horizontal="left" vertical="center" indent="4"/>
    </xf>
    <xf numFmtId="4" fontId="6" fillId="0" borderId="1" xfId="4" applyNumberFormat="1" applyFont="1" applyFill="1" applyBorder="1" applyAlignment="1">
      <alignment horizontal="right" vertical="center"/>
    </xf>
    <xf numFmtId="10" fontId="6" fillId="0" borderId="1" xfId="1" applyNumberFormat="1" applyFont="1" applyFill="1" applyBorder="1" applyAlignment="1">
      <alignment horizontal="right" vertical="center"/>
    </xf>
    <xf numFmtId="2" fontId="6" fillId="0" borderId="1" xfId="4" applyNumberFormat="1" applyFont="1" applyFill="1" applyBorder="1" applyAlignment="1">
      <alignment horizontal="right" vertical="center"/>
    </xf>
    <xf numFmtId="0" fontId="34" fillId="0" borderId="0" xfId="0" applyFont="1" applyAlignment="1">
      <alignment horizontal="center" vertical="center"/>
    </xf>
    <xf numFmtId="0" fontId="38" fillId="15" borderId="21"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34" fillId="16" borderId="21" xfId="0" applyFont="1" applyFill="1" applyBorder="1" applyAlignment="1">
      <alignment horizontal="center" vertical="center"/>
    </xf>
    <xf numFmtId="0" fontId="43" fillId="2" borderId="37" xfId="0" applyFont="1" applyFill="1" applyBorder="1" applyAlignment="1">
      <alignment vertical="center" wrapText="1"/>
    </xf>
    <xf numFmtId="0" fontId="19" fillId="2" borderId="36" xfId="0" applyFont="1" applyFill="1" applyBorder="1" applyAlignment="1">
      <alignment vertical="center" wrapText="1"/>
    </xf>
    <xf numFmtId="0" fontId="19" fillId="2" borderId="44" xfId="0" applyFont="1" applyFill="1" applyBorder="1" applyAlignment="1">
      <alignment vertical="center" wrapText="1"/>
    </xf>
    <xf numFmtId="0" fontId="19" fillId="2" borderId="43" xfId="0" applyFont="1" applyFill="1" applyBorder="1" applyAlignment="1">
      <alignment vertical="center" wrapText="1"/>
    </xf>
    <xf numFmtId="0" fontId="44" fillId="0" borderId="0" xfId="0" applyFont="1" applyAlignment="1">
      <alignment horizontal="justify" vertical="center" wrapText="1"/>
    </xf>
    <xf numFmtId="0" fontId="43" fillId="2" borderId="46" xfId="0" applyFont="1" applyFill="1" applyBorder="1" applyAlignment="1">
      <alignment vertical="center" wrapText="1"/>
    </xf>
    <xf numFmtId="0" fontId="43" fillId="2" borderId="18" xfId="0" applyFont="1" applyFill="1" applyBorder="1" applyAlignment="1">
      <alignment vertical="center" wrapText="1"/>
    </xf>
    <xf numFmtId="0" fontId="38" fillId="0" borderId="39" xfId="0" applyFont="1" applyFill="1" applyBorder="1" applyAlignment="1">
      <alignment horizontal="left" vertical="center" wrapText="1"/>
    </xf>
    <xf numFmtId="0" fontId="39" fillId="0" borderId="21" xfId="0" applyFont="1" applyFill="1" applyBorder="1" applyAlignment="1">
      <alignment horizontal="center" vertical="center" wrapText="1"/>
    </xf>
    <xf numFmtId="0" fontId="39" fillId="0" borderId="21" xfId="0" applyFont="1" applyFill="1" applyBorder="1" applyAlignment="1">
      <alignment horizontal="justify" vertical="center" wrapText="1"/>
    </xf>
    <xf numFmtId="0" fontId="39" fillId="16" borderId="21" xfId="0" applyFont="1" applyFill="1" applyBorder="1" applyAlignment="1">
      <alignment horizontal="justify" vertical="center" wrapText="1"/>
    </xf>
    <xf numFmtId="0" fontId="19" fillId="2" borderId="49" xfId="0" applyFont="1" applyFill="1" applyBorder="1" applyAlignment="1">
      <alignment horizontal="left" vertical="center" wrapText="1"/>
    </xf>
    <xf numFmtId="0" fontId="19" fillId="2" borderId="46" xfId="0" applyFont="1" applyFill="1" applyBorder="1" applyAlignment="1">
      <alignment horizontal="center" vertical="center" wrapText="1"/>
    </xf>
    <xf numFmtId="0" fontId="36" fillId="0" borderId="50" xfId="0" applyFont="1" applyFill="1" applyBorder="1" applyAlignment="1">
      <alignment horizontal="center" vertical="center" wrapText="1"/>
    </xf>
    <xf numFmtId="4" fontId="48" fillId="2" borderId="20" xfId="0" applyNumberFormat="1" applyFont="1" applyFill="1" applyBorder="1" applyAlignment="1">
      <alignment horizontal="center" vertical="center"/>
    </xf>
    <xf numFmtId="4" fontId="47" fillId="2" borderId="20" xfId="0" applyNumberFormat="1" applyFont="1" applyFill="1" applyBorder="1" applyAlignment="1">
      <alignment vertical="center"/>
    </xf>
    <xf numFmtId="4" fontId="48" fillId="2" borderId="20" xfId="0" applyNumberFormat="1" applyFont="1" applyFill="1" applyBorder="1" applyAlignment="1">
      <alignment horizontal="right" vertical="center"/>
    </xf>
    <xf numFmtId="4" fontId="48" fillId="2" borderId="32" xfId="0" applyNumberFormat="1" applyFont="1" applyFill="1" applyBorder="1" applyAlignment="1">
      <alignment horizontal="center" vertical="center"/>
    </xf>
    <xf numFmtId="10" fontId="48" fillId="2" borderId="32" xfId="1" applyNumberFormat="1" applyFont="1" applyFill="1" applyBorder="1" applyAlignment="1">
      <alignment horizontal="center" vertical="center"/>
    </xf>
    <xf numFmtId="0" fontId="45" fillId="0" borderId="1" xfId="0" applyFont="1" applyBorder="1" applyAlignment="1">
      <alignment vertical="center" wrapText="1"/>
    </xf>
    <xf numFmtId="2" fontId="49" fillId="0" borderId="0" xfId="0" applyNumberFormat="1" applyFont="1"/>
    <xf numFmtId="0" fontId="49" fillId="0" borderId="0" xfId="0" applyFont="1"/>
    <xf numFmtId="4" fontId="49" fillId="0" borderId="0" xfId="0" applyNumberFormat="1" applyFont="1" applyAlignment="1">
      <alignment horizontal="left" vertical="center"/>
    </xf>
    <xf numFmtId="4" fontId="49" fillId="0" borderId="0" xfId="0" applyNumberFormat="1" applyFont="1" applyAlignment="1">
      <alignment vertical="center"/>
    </xf>
    <xf numFmtId="0" fontId="49" fillId="0" borderId="0" xfId="0" applyFont="1" applyAlignment="1">
      <alignment horizontal="left" vertical="center"/>
    </xf>
    <xf numFmtId="0" fontId="50" fillId="0" borderId="0" xfId="0" applyFont="1" applyAlignment="1">
      <alignment vertical="center"/>
    </xf>
    <xf numFmtId="0" fontId="49" fillId="0" borderId="0" xfId="0" applyFont="1" applyAlignment="1">
      <alignment vertical="center"/>
    </xf>
    <xf numFmtId="0" fontId="50" fillId="0" borderId="0" xfId="0" applyFont="1"/>
    <xf numFmtId="4" fontId="45" fillId="0" borderId="0" xfId="0" applyNumberFormat="1" applyFont="1" applyAlignment="1">
      <alignment horizontal="center" vertical="center"/>
    </xf>
    <xf numFmtId="4" fontId="51" fillId="2" borderId="29" xfId="0" applyNumberFormat="1" applyFont="1" applyFill="1" applyBorder="1" applyAlignment="1">
      <alignment horizontal="center" vertical="center"/>
    </xf>
    <xf numFmtId="4" fontId="51" fillId="2" borderId="30" xfId="0" applyNumberFormat="1" applyFont="1" applyFill="1" applyBorder="1" applyAlignment="1">
      <alignment horizontal="center" vertical="center"/>
    </xf>
    <xf numFmtId="0" fontId="51" fillId="2" borderId="30" xfId="0" applyFont="1" applyFill="1" applyBorder="1" applyAlignment="1">
      <alignment horizontal="center" vertical="center"/>
    </xf>
    <xf numFmtId="4" fontId="51" fillId="2" borderId="31" xfId="0" applyNumberFormat="1" applyFont="1" applyFill="1" applyBorder="1" applyAlignment="1">
      <alignment horizontal="center" vertical="center"/>
    </xf>
    <xf numFmtId="0" fontId="52" fillId="14" borderId="32" xfId="0" applyFont="1" applyFill="1" applyBorder="1" applyAlignment="1">
      <alignment horizontal="center" vertical="center"/>
    </xf>
    <xf numFmtId="0" fontId="52" fillId="14" borderId="20" xfId="0" applyFont="1" applyFill="1" applyBorder="1" applyAlignment="1">
      <alignment horizontal="justify" vertical="center"/>
    </xf>
    <xf numFmtId="4" fontId="52" fillId="14" borderId="32" xfId="0" applyNumberFormat="1" applyFont="1" applyFill="1" applyBorder="1" applyAlignment="1">
      <alignment vertical="center"/>
    </xf>
    <xf numFmtId="0" fontId="52" fillId="14" borderId="20" xfId="0" applyFont="1" applyFill="1" applyBorder="1" applyAlignment="1">
      <alignment horizontal="center" vertical="center"/>
    </xf>
    <xf numFmtId="4" fontId="52" fillId="14" borderId="26" xfId="0" applyNumberFormat="1" applyFont="1" applyFill="1" applyBorder="1" applyAlignment="1">
      <alignment horizontal="center" vertical="center"/>
    </xf>
    <xf numFmtId="10" fontId="52" fillId="14" borderId="32" xfId="1" applyNumberFormat="1" applyFont="1" applyFill="1" applyBorder="1" applyAlignment="1">
      <alignment horizontal="center" vertical="center"/>
    </xf>
    <xf numFmtId="0" fontId="49" fillId="0" borderId="20" xfId="0" applyFont="1" applyBorder="1" applyAlignment="1">
      <alignment horizontal="center" vertical="center"/>
    </xf>
    <xf numFmtId="0" fontId="49" fillId="0" borderId="20" xfId="0" applyFont="1" applyBorder="1" applyAlignment="1">
      <alignment horizontal="justify" vertical="center" wrapText="1"/>
    </xf>
    <xf numFmtId="4" fontId="49" fillId="0" borderId="20" xfId="0" applyNumberFormat="1" applyFont="1" applyBorder="1" applyAlignment="1">
      <alignment vertical="center"/>
    </xf>
    <xf numFmtId="4" fontId="49" fillId="0" borderId="20" xfId="0" applyNumberFormat="1" applyFont="1" applyBorder="1" applyAlignment="1">
      <alignment horizontal="center" vertical="center"/>
    </xf>
    <xf numFmtId="3" fontId="49" fillId="0" borderId="20" xfId="0" applyNumberFormat="1" applyFont="1" applyBorder="1" applyAlignment="1">
      <alignment horizontal="center" vertical="center" wrapText="1"/>
    </xf>
    <xf numFmtId="10" fontId="53" fillId="0" borderId="20" xfId="1" applyNumberFormat="1" applyFont="1" applyFill="1" applyBorder="1" applyAlignment="1">
      <alignment horizontal="center" vertical="center"/>
    </xf>
    <xf numFmtId="0" fontId="45" fillId="0" borderId="20" xfId="0" applyFont="1" applyBorder="1" applyAlignment="1">
      <alignment horizontal="justify" vertical="center" wrapText="1"/>
    </xf>
    <xf numFmtId="4" fontId="45" fillId="0" borderId="20" xfId="0" applyNumberFormat="1" applyFont="1" applyBorder="1" applyAlignment="1">
      <alignment horizontal="center" vertical="center"/>
    </xf>
    <xf numFmtId="10" fontId="54" fillId="0" borderId="20" xfId="1" applyNumberFormat="1" applyFont="1" applyFill="1" applyBorder="1" applyAlignment="1">
      <alignment horizontal="center" vertical="center"/>
    </xf>
    <xf numFmtId="165" fontId="49" fillId="0" borderId="0" xfId="1" applyNumberFormat="1" applyFont="1"/>
    <xf numFmtId="3" fontId="49" fillId="0" borderId="20" xfId="0" applyNumberFormat="1" applyFont="1" applyBorder="1" applyAlignment="1">
      <alignment horizontal="center" vertical="center"/>
    </xf>
    <xf numFmtId="4" fontId="51" fillId="2" borderId="33" xfId="0" applyNumberFormat="1" applyFont="1" applyFill="1" applyBorder="1" applyAlignment="1">
      <alignment horizontal="center" vertical="center"/>
    </xf>
    <xf numFmtId="4" fontId="51" fillId="2" borderId="17" xfId="0" applyNumberFormat="1" applyFont="1" applyFill="1" applyBorder="1" applyAlignment="1">
      <alignment horizontal="center" vertical="center"/>
    </xf>
    <xf numFmtId="0" fontId="51" fillId="2" borderId="31" xfId="0" applyFont="1" applyFill="1" applyBorder="1" applyAlignment="1">
      <alignment horizontal="center" vertical="center"/>
    </xf>
    <xf numFmtId="0" fontId="51" fillId="2" borderId="34" xfId="0" applyFont="1" applyFill="1" applyBorder="1" applyAlignment="1">
      <alignment horizontal="center" vertical="center"/>
    </xf>
    <xf numFmtId="0" fontId="49" fillId="3" borderId="20" xfId="0" applyFont="1" applyFill="1" applyBorder="1" applyAlignment="1">
      <alignment horizontal="justify" vertical="center" wrapText="1"/>
    </xf>
    <xf numFmtId="4" fontId="49" fillId="0" borderId="20" xfId="0" applyNumberFormat="1" applyFont="1" applyBorder="1" applyAlignment="1">
      <alignment horizontal="right" vertical="center"/>
    </xf>
    <xf numFmtId="0" fontId="49" fillId="0" borderId="20" xfId="0" applyFont="1" applyBorder="1"/>
    <xf numFmtId="0" fontId="51" fillId="2" borderId="20" xfId="0" applyFont="1" applyFill="1" applyBorder="1" applyAlignment="1">
      <alignment vertical="center" wrapText="1"/>
    </xf>
    <xf numFmtId="43" fontId="50" fillId="0" borderId="20" xfId="5" applyNumberFormat="1" applyFont="1" applyFill="1" applyBorder="1" applyAlignment="1">
      <alignment horizontal="center" vertical="center"/>
    </xf>
    <xf numFmtId="170" fontId="50" fillId="0" borderId="20" xfId="5" applyNumberFormat="1" applyFont="1" applyFill="1" applyBorder="1" applyAlignment="1">
      <alignment horizontal="center" vertical="center"/>
    </xf>
    <xf numFmtId="43" fontId="50" fillId="0" borderId="20" xfId="5" applyNumberFormat="1" applyFont="1" applyFill="1" applyBorder="1" applyAlignment="1">
      <alignment vertical="center"/>
    </xf>
    <xf numFmtId="169" fontId="52" fillId="0" borderId="20" xfId="0" applyNumberFormat="1" applyFont="1" applyBorder="1" applyAlignment="1">
      <alignment horizontal="center" vertical="center"/>
    </xf>
    <xf numFmtId="169" fontId="50" fillId="0" borderId="20" xfId="5" applyFont="1" applyFill="1" applyBorder="1" applyAlignment="1">
      <alignment vertical="center"/>
    </xf>
    <xf numFmtId="0" fontId="50" fillId="13" borderId="20" xfId="0" applyFont="1" applyFill="1" applyBorder="1" applyAlignment="1">
      <alignment horizontal="left" vertical="center"/>
    </xf>
    <xf numFmtId="43" fontId="50" fillId="13" borderId="20" xfId="5" applyNumberFormat="1" applyFont="1" applyFill="1" applyBorder="1" applyAlignment="1">
      <alignment horizontal="left" vertical="center"/>
    </xf>
    <xf numFmtId="0" fontId="50" fillId="13" borderId="20" xfId="0" applyFont="1" applyFill="1" applyBorder="1"/>
    <xf numFmtId="169" fontId="52" fillId="13" borderId="20" xfId="0" applyNumberFormat="1" applyFont="1" applyFill="1" applyBorder="1" applyAlignment="1">
      <alignment horizontal="center" vertical="center"/>
    </xf>
    <xf numFmtId="0" fontId="49" fillId="13" borderId="20" xfId="0" applyFont="1" applyFill="1" applyBorder="1" applyAlignment="1">
      <alignment vertical="center"/>
    </xf>
    <xf numFmtId="4" fontId="49" fillId="13" borderId="20" xfId="0" applyNumberFormat="1" applyFont="1" applyFill="1" applyBorder="1" applyAlignment="1">
      <alignment vertical="center"/>
    </xf>
    <xf numFmtId="10" fontId="50" fillId="13" borderId="20" xfId="1" applyNumberFormat="1" applyFont="1" applyFill="1" applyBorder="1" applyAlignment="1">
      <alignment vertical="center"/>
    </xf>
    <xf numFmtId="0" fontId="50" fillId="13" borderId="20" xfId="0" applyFont="1" applyFill="1" applyBorder="1" applyAlignment="1">
      <alignment vertical="center"/>
    </xf>
    <xf numFmtId="0" fontId="55" fillId="13" borderId="20" xfId="0" applyFont="1" applyFill="1" applyBorder="1" applyAlignment="1">
      <alignment horizontal="left" vertical="center"/>
    </xf>
    <xf numFmtId="10" fontId="50" fillId="13" borderId="20" xfId="1" applyNumberFormat="1" applyFont="1" applyFill="1" applyBorder="1" applyAlignment="1">
      <alignment horizontal="center" vertical="center"/>
    </xf>
    <xf numFmtId="43" fontId="50" fillId="13" borderId="20" xfId="5" applyNumberFormat="1" applyFont="1" applyFill="1" applyBorder="1" applyAlignment="1">
      <alignment vertical="center"/>
    </xf>
    <xf numFmtId="0" fontId="49" fillId="0" borderId="20" xfId="0" applyFont="1" applyBorder="1" applyAlignment="1">
      <alignment vertical="center"/>
    </xf>
    <xf numFmtId="10" fontId="50" fillId="0" borderId="20" xfId="1" applyNumberFormat="1" applyFont="1" applyFill="1" applyBorder="1" applyAlignment="1">
      <alignment horizontal="left" vertical="center"/>
    </xf>
    <xf numFmtId="0" fontId="50" fillId="0" borderId="20" xfId="0" applyFont="1" applyBorder="1"/>
    <xf numFmtId="1" fontId="51" fillId="2" borderId="20" xfId="0" applyNumberFormat="1" applyFont="1" applyFill="1" applyBorder="1" applyAlignment="1">
      <alignment horizontal="center" vertical="center"/>
    </xf>
    <xf numFmtId="0" fontId="51" fillId="2" borderId="20" xfId="0" applyFont="1" applyFill="1" applyBorder="1" applyAlignment="1">
      <alignment horizontal="left" vertical="center"/>
    </xf>
    <xf numFmtId="0" fontId="51" fillId="2" borderId="20" xfId="0" applyFont="1" applyFill="1" applyBorder="1" applyAlignment="1">
      <alignment vertical="center"/>
    </xf>
    <xf numFmtId="4" fontId="51" fillId="2" borderId="25" xfId="0" applyNumberFormat="1" applyFont="1" applyFill="1" applyBorder="1" applyAlignment="1">
      <alignment vertical="center"/>
    </xf>
    <xf numFmtId="4" fontId="51" fillId="2" borderId="20" xfId="1" applyNumberFormat="1" applyFont="1" applyFill="1" applyBorder="1" applyAlignment="1">
      <alignment vertical="center"/>
    </xf>
    <xf numFmtId="4" fontId="51" fillId="2" borderId="20" xfId="0" applyNumberFormat="1" applyFont="1" applyFill="1" applyBorder="1" applyAlignment="1">
      <alignment vertical="center"/>
    </xf>
    <xf numFmtId="4" fontId="51" fillId="2" borderId="32" xfId="1" applyNumberFormat="1" applyFont="1" applyFill="1" applyBorder="1" applyAlignment="1">
      <alignment vertical="center"/>
    </xf>
    <xf numFmtId="0" fontId="50" fillId="0" borderId="0" xfId="0" applyFont="1" applyAlignment="1">
      <alignment horizontal="center" vertical="top"/>
    </xf>
    <xf numFmtId="0" fontId="49" fillId="0" borderId="0" xfId="0" applyFont="1" applyAlignment="1">
      <alignment horizontal="justify" vertical="center" wrapText="1"/>
    </xf>
    <xf numFmtId="0" fontId="45" fillId="0" borderId="0" xfId="0" applyFont="1" applyAlignment="1">
      <alignment horizontal="left" vertical="center"/>
    </xf>
    <xf numFmtId="0" fontId="49" fillId="0" borderId="0" xfId="0" applyFont="1" applyAlignment="1">
      <alignment horizontal="center" vertical="center"/>
    </xf>
    <xf numFmtId="0" fontId="47" fillId="2" borderId="20" xfId="0" applyFont="1" applyFill="1" applyBorder="1" applyAlignment="1">
      <alignment horizontal="center" vertical="center"/>
    </xf>
    <xf numFmtId="3" fontId="34" fillId="0" borderId="21" xfId="0" applyNumberFormat="1" applyFont="1" applyFill="1" applyBorder="1" applyAlignment="1">
      <alignment horizontal="center" vertical="center" wrapText="1"/>
    </xf>
    <xf numFmtId="0" fontId="34" fillId="3" borderId="40" xfId="0" applyFont="1" applyFill="1" applyBorder="1" applyAlignment="1">
      <alignment horizontal="center" vertical="center" wrapText="1"/>
    </xf>
    <xf numFmtId="0" fontId="34" fillId="3" borderId="40" xfId="0" applyFont="1" applyFill="1" applyBorder="1" applyAlignment="1">
      <alignment horizontal="center" vertical="center" wrapText="1"/>
    </xf>
    <xf numFmtId="0" fontId="19" fillId="2" borderId="47" xfId="0" applyFont="1" applyFill="1" applyBorder="1" applyAlignment="1">
      <alignment horizontal="left" vertical="center" wrapText="1"/>
    </xf>
    <xf numFmtId="0" fontId="19" fillId="2" borderId="44" xfId="0" applyFont="1" applyFill="1" applyBorder="1" applyAlignment="1">
      <alignment horizontal="left" vertical="center" wrapText="1"/>
    </xf>
    <xf numFmtId="0" fontId="19" fillId="2" borderId="42"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36" fillId="14" borderId="50" xfId="0" applyFont="1" applyFill="1" applyBorder="1" applyAlignment="1">
      <alignment horizontal="center" vertical="center" wrapText="1"/>
    </xf>
    <xf numFmtId="0" fontId="52" fillId="0" borderId="0" xfId="0" applyFont="1" applyAlignment="1">
      <alignment vertical="center"/>
    </xf>
    <xf numFmtId="0" fontId="34" fillId="16" borderId="21" xfId="0" applyFont="1" applyFill="1" applyBorder="1" applyAlignment="1">
      <alignment vertical="center"/>
    </xf>
    <xf numFmtId="0" fontId="56" fillId="0" borderId="0" xfId="0" applyFont="1" applyAlignment="1">
      <alignment horizontal="center" vertical="center"/>
    </xf>
    <xf numFmtId="9" fontId="26" fillId="2" borderId="0" xfId="1" applyFont="1" applyFill="1" applyAlignment="1">
      <alignment horizontal="center" vertical="center"/>
    </xf>
    <xf numFmtId="0" fontId="34" fillId="3" borderId="40" xfId="0" applyFont="1" applyFill="1" applyBorder="1" applyAlignment="1">
      <alignment horizontal="center" vertical="center" wrapText="1"/>
    </xf>
    <xf numFmtId="2" fontId="60" fillId="0" borderId="0" xfId="0" applyNumberFormat="1" applyFont="1"/>
    <xf numFmtId="0" fontId="61" fillId="0" borderId="0" xfId="0" applyFont="1" applyAlignment="1">
      <alignment horizontal="left" vertical="center"/>
    </xf>
    <xf numFmtId="4" fontId="63" fillId="0" borderId="0" xfId="0" applyNumberFormat="1" applyFont="1" applyAlignment="1">
      <alignment horizontal="right" vertical="center"/>
    </xf>
    <xf numFmtId="0" fontId="64" fillId="0" borderId="0" xfId="0" applyFont="1"/>
    <xf numFmtId="0" fontId="65" fillId="0" borderId="0" xfId="0" applyFont="1" applyAlignment="1">
      <alignment vertical="center"/>
    </xf>
    <xf numFmtId="0" fontId="64" fillId="0" borderId="0" xfId="0" applyFont="1" applyAlignment="1">
      <alignment vertical="center"/>
    </xf>
    <xf numFmtId="0" fontId="62" fillId="0" borderId="0" xfId="0" applyFont="1"/>
    <xf numFmtId="4" fontId="64" fillId="0" borderId="0" xfId="0" applyNumberFormat="1" applyFont="1" applyAlignment="1">
      <alignment horizontal="left" vertical="center"/>
    </xf>
    <xf numFmtId="4" fontId="64" fillId="0" borderId="0" xfId="0" applyNumberFormat="1" applyFont="1" applyAlignment="1">
      <alignment vertical="center"/>
    </xf>
    <xf numFmtId="4" fontId="66" fillId="2" borderId="29" xfId="0" applyNumberFormat="1" applyFont="1" applyFill="1" applyBorder="1" applyAlignment="1">
      <alignment horizontal="center" vertical="center"/>
    </xf>
    <xf numFmtId="4" fontId="66" fillId="2" borderId="30" xfId="0" applyNumberFormat="1" applyFont="1" applyFill="1" applyBorder="1" applyAlignment="1">
      <alignment horizontal="center" vertical="center"/>
    </xf>
    <xf numFmtId="0" fontId="66" fillId="2" borderId="30" xfId="0" applyFont="1" applyFill="1" applyBorder="1" applyAlignment="1">
      <alignment horizontal="center" vertical="center"/>
    </xf>
    <xf numFmtId="4" fontId="66" fillId="2" borderId="31" xfId="0" applyNumberFormat="1" applyFont="1" applyFill="1" applyBorder="1" applyAlignment="1">
      <alignment horizontal="center" vertical="center"/>
    </xf>
    <xf numFmtId="0" fontId="67" fillId="14" borderId="32" xfId="0" applyFont="1" applyFill="1" applyBorder="1" applyAlignment="1">
      <alignment horizontal="center" vertical="center"/>
    </xf>
    <xf numFmtId="0" fontId="67" fillId="14" borderId="20" xfId="0" applyFont="1" applyFill="1" applyBorder="1" applyAlignment="1">
      <alignment horizontal="justify" vertical="center"/>
    </xf>
    <xf numFmtId="4" fontId="67" fillId="14" borderId="32" xfId="0" applyNumberFormat="1" applyFont="1" applyFill="1" applyBorder="1" applyAlignment="1">
      <alignment vertical="center"/>
    </xf>
    <xf numFmtId="0" fontId="67" fillId="14" borderId="20" xfId="0" applyFont="1" applyFill="1" applyBorder="1" applyAlignment="1">
      <alignment horizontal="center" vertical="center"/>
    </xf>
    <xf numFmtId="4" fontId="67" fillId="14" borderId="26" xfId="0" applyNumberFormat="1" applyFont="1" applyFill="1" applyBorder="1" applyAlignment="1">
      <alignment horizontal="center" vertical="center"/>
    </xf>
    <xf numFmtId="10" fontId="67" fillId="14" borderId="32" xfId="1" applyNumberFormat="1" applyFont="1" applyFill="1" applyBorder="1" applyAlignment="1">
      <alignment horizontal="center" vertical="center"/>
    </xf>
    <xf numFmtId="0" fontId="64" fillId="0" borderId="20" xfId="0" applyFont="1" applyBorder="1" applyAlignment="1">
      <alignment horizontal="center" vertical="center"/>
    </xf>
    <xf numFmtId="0" fontId="64" fillId="0" borderId="20" xfId="0" applyFont="1" applyBorder="1" applyAlignment="1">
      <alignment horizontal="justify" vertical="center" wrapText="1"/>
    </xf>
    <xf numFmtId="4" fontId="64" fillId="0" borderId="20" xfId="0" applyNumberFormat="1" applyFont="1" applyBorder="1" applyAlignment="1">
      <alignment vertical="center"/>
    </xf>
    <xf numFmtId="4" fontId="64" fillId="0" borderId="20" xfId="0" applyNumberFormat="1" applyFont="1" applyBorder="1" applyAlignment="1">
      <alignment horizontal="center" vertical="center"/>
    </xf>
    <xf numFmtId="3" fontId="64" fillId="0" borderId="20" xfId="0" applyNumberFormat="1" applyFont="1" applyBorder="1" applyAlignment="1">
      <alignment horizontal="center" vertical="center" wrapText="1"/>
    </xf>
    <xf numFmtId="10" fontId="68" fillId="0" borderId="20" xfId="1" applyNumberFormat="1" applyFont="1" applyFill="1" applyBorder="1" applyAlignment="1">
      <alignment horizontal="center" vertical="center"/>
    </xf>
    <xf numFmtId="4" fontId="64" fillId="0" borderId="0" xfId="0" applyNumberFormat="1" applyFont="1"/>
    <xf numFmtId="0" fontId="61" fillId="0" borderId="20" xfId="0" applyFont="1" applyBorder="1" applyAlignment="1">
      <alignment horizontal="justify" vertical="center" wrapText="1"/>
    </xf>
    <xf numFmtId="4" fontId="61" fillId="0" borderId="20" xfId="0" applyNumberFormat="1" applyFont="1" applyBorder="1" applyAlignment="1">
      <alignment horizontal="center" vertical="center"/>
    </xf>
    <xf numFmtId="10" fontId="69" fillId="0" borderId="20" xfId="1" applyNumberFormat="1" applyFont="1" applyFill="1" applyBorder="1" applyAlignment="1">
      <alignment horizontal="center" vertical="center"/>
    </xf>
    <xf numFmtId="165" fontId="64" fillId="0" borderId="0" xfId="1" applyNumberFormat="1" applyFont="1"/>
    <xf numFmtId="4" fontId="66" fillId="2" borderId="26" xfId="0" applyNumberFormat="1" applyFont="1" applyFill="1" applyBorder="1" applyAlignment="1">
      <alignment horizontal="center" vertical="center"/>
    </xf>
    <xf numFmtId="0" fontId="66" fillId="2" borderId="20" xfId="0" applyFont="1" applyFill="1" applyBorder="1" applyAlignment="1">
      <alignment horizontal="center" vertical="center"/>
    </xf>
    <xf numFmtId="3" fontId="64" fillId="0" borderId="20" xfId="0" applyNumberFormat="1" applyFont="1" applyBorder="1" applyAlignment="1">
      <alignment horizontal="center" vertical="center"/>
    </xf>
    <xf numFmtId="0" fontId="65" fillId="0" borderId="20" xfId="0" applyFont="1" applyBorder="1" applyAlignment="1">
      <alignment horizontal="center" vertical="center"/>
    </xf>
    <xf numFmtId="0" fontId="65" fillId="0" borderId="20" xfId="0" applyFont="1" applyBorder="1" applyAlignment="1">
      <alignment horizontal="justify" vertical="center" wrapText="1"/>
    </xf>
    <xf numFmtId="2" fontId="64" fillId="0" borderId="20" xfId="0" applyNumberFormat="1" applyFont="1" applyBorder="1" applyAlignment="1">
      <alignment horizontal="center" vertical="center"/>
    </xf>
    <xf numFmtId="10" fontId="70" fillId="0" borderId="20" xfId="1" applyNumberFormat="1" applyFont="1" applyFill="1" applyBorder="1" applyAlignment="1">
      <alignment horizontal="center" vertical="center"/>
    </xf>
    <xf numFmtId="4" fontId="66" fillId="2" borderId="33" xfId="0" applyNumberFormat="1" applyFont="1" applyFill="1" applyBorder="1" applyAlignment="1">
      <alignment horizontal="center" vertical="center"/>
    </xf>
    <xf numFmtId="4" fontId="66" fillId="2" borderId="17" xfId="0" applyNumberFormat="1" applyFont="1" applyFill="1" applyBorder="1" applyAlignment="1">
      <alignment horizontal="center" vertical="center"/>
    </xf>
    <xf numFmtId="0" fontId="66" fillId="2" borderId="31" xfId="0" applyFont="1" applyFill="1" applyBorder="1" applyAlignment="1">
      <alignment horizontal="center" vertical="center"/>
    </xf>
    <xf numFmtId="0" fontId="66" fillId="2" borderId="34" xfId="0" applyFont="1" applyFill="1" applyBorder="1" applyAlignment="1">
      <alignment horizontal="center" vertical="center"/>
    </xf>
    <xf numFmtId="0" fontId="64" fillId="3" borderId="20" xfId="0" applyFont="1" applyFill="1" applyBorder="1" applyAlignment="1">
      <alignment horizontal="justify" vertical="center" wrapText="1"/>
    </xf>
    <xf numFmtId="2" fontId="64" fillId="0" borderId="35" xfId="0" applyNumberFormat="1" applyFont="1" applyBorder="1" applyAlignment="1">
      <alignment horizontal="center" vertical="center"/>
    </xf>
    <xf numFmtId="3" fontId="64" fillId="0" borderId="35" xfId="0" applyNumberFormat="1" applyFont="1" applyBorder="1" applyAlignment="1">
      <alignment horizontal="center" vertical="center"/>
    </xf>
    <xf numFmtId="4" fontId="64" fillId="0" borderId="35" xfId="0" applyNumberFormat="1" applyFont="1" applyBorder="1" applyAlignment="1">
      <alignment vertical="center"/>
    </xf>
    <xf numFmtId="4" fontId="64" fillId="0" borderId="20" xfId="0" applyNumberFormat="1" applyFont="1" applyBorder="1" applyAlignment="1">
      <alignment horizontal="right" vertical="center"/>
    </xf>
    <xf numFmtId="0" fontId="71" fillId="12" borderId="20" xfId="0" applyFont="1" applyFill="1" applyBorder="1" applyAlignment="1">
      <alignment horizontal="center" vertical="center"/>
    </xf>
    <xf numFmtId="4" fontId="72" fillId="2" borderId="20" xfId="0" applyNumberFormat="1" applyFont="1" applyFill="1" applyBorder="1" applyAlignment="1">
      <alignment horizontal="center" vertical="center"/>
    </xf>
    <xf numFmtId="4" fontId="71" fillId="2" borderId="20" xfId="0" applyNumberFormat="1" applyFont="1" applyFill="1" applyBorder="1" applyAlignment="1">
      <alignment vertical="center"/>
    </xf>
    <xf numFmtId="4" fontId="72" fillId="2" borderId="20" xfId="0" applyNumberFormat="1" applyFont="1" applyFill="1" applyBorder="1" applyAlignment="1">
      <alignment horizontal="right" vertical="center"/>
    </xf>
    <xf numFmtId="4" fontId="72" fillId="2" borderId="32" xfId="0" applyNumberFormat="1" applyFont="1" applyFill="1" applyBorder="1" applyAlignment="1">
      <alignment horizontal="center" vertical="center"/>
    </xf>
    <xf numFmtId="10" fontId="72" fillId="2" borderId="32" xfId="1" applyNumberFormat="1" applyFont="1" applyFill="1" applyBorder="1" applyAlignment="1">
      <alignment horizontal="center" vertical="center"/>
    </xf>
    <xf numFmtId="0" fontId="64" fillId="0" borderId="20" xfId="0" applyFont="1" applyBorder="1"/>
    <xf numFmtId="0" fontId="66" fillId="2" borderId="20" xfId="0" applyFont="1" applyFill="1" applyBorder="1" applyAlignment="1">
      <alignment vertical="center" wrapText="1"/>
    </xf>
    <xf numFmtId="43" fontId="62" fillId="0" borderId="20" xfId="5" applyNumberFormat="1" applyFont="1" applyFill="1" applyBorder="1" applyAlignment="1">
      <alignment horizontal="center" vertical="center"/>
    </xf>
    <xf numFmtId="170" fontId="62" fillId="0" borderId="20" xfId="5" applyNumberFormat="1" applyFont="1" applyFill="1" applyBorder="1" applyAlignment="1">
      <alignment horizontal="center" vertical="center"/>
    </xf>
    <xf numFmtId="43" fontId="62" fillId="0" borderId="20" xfId="5" applyNumberFormat="1" applyFont="1" applyFill="1" applyBorder="1" applyAlignment="1">
      <alignment vertical="center"/>
    </xf>
    <xf numFmtId="169" fontId="67" fillId="0" borderId="20" xfId="0" applyNumberFormat="1" applyFont="1" applyBorder="1" applyAlignment="1">
      <alignment horizontal="center" vertical="center"/>
    </xf>
    <xf numFmtId="169" fontId="62" fillId="0" borderId="20" xfId="5" applyFont="1" applyFill="1" applyBorder="1" applyAlignment="1">
      <alignment vertical="center"/>
    </xf>
    <xf numFmtId="0" fontId="62" fillId="13" borderId="20" xfId="0" applyFont="1" applyFill="1" applyBorder="1" applyAlignment="1">
      <alignment horizontal="left" vertical="center"/>
    </xf>
    <xf numFmtId="43" fontId="62" fillId="13" borderId="20" xfId="5" applyNumberFormat="1" applyFont="1" applyFill="1" applyBorder="1" applyAlignment="1">
      <alignment horizontal="left" vertical="center"/>
    </xf>
    <xf numFmtId="0" fontId="62" fillId="13" borderId="20" xfId="0" applyFont="1" applyFill="1" applyBorder="1"/>
    <xf numFmtId="169" fontId="67" fillId="13" borderId="20" xfId="0" applyNumberFormat="1" applyFont="1" applyFill="1" applyBorder="1" applyAlignment="1">
      <alignment horizontal="center" vertical="center"/>
    </xf>
    <xf numFmtId="0" fontId="64" fillId="13" borderId="20" xfId="0" applyFont="1" applyFill="1" applyBorder="1" applyAlignment="1">
      <alignment vertical="center"/>
    </xf>
    <xf numFmtId="4" fontId="64" fillId="13" borderId="20" xfId="0" applyNumberFormat="1" applyFont="1" applyFill="1" applyBorder="1" applyAlignment="1">
      <alignment vertical="center"/>
    </xf>
    <xf numFmtId="10" fontId="62" fillId="13" borderId="20" xfId="1" applyNumberFormat="1" applyFont="1" applyFill="1" applyBorder="1" applyAlignment="1">
      <alignment vertical="center"/>
    </xf>
    <xf numFmtId="0" fontId="62" fillId="13" borderId="20" xfId="0" applyFont="1" applyFill="1" applyBorder="1" applyAlignment="1">
      <alignment vertical="center"/>
    </xf>
    <xf numFmtId="0" fontId="73" fillId="13" borderId="20" xfId="0" applyFont="1" applyFill="1" applyBorder="1" applyAlignment="1">
      <alignment horizontal="left" vertical="center"/>
    </xf>
    <xf numFmtId="10" fontId="62" fillId="13" borderId="20" xfId="1" applyNumberFormat="1" applyFont="1" applyFill="1" applyBorder="1" applyAlignment="1">
      <alignment horizontal="center" vertical="center"/>
    </xf>
    <xf numFmtId="43" fontId="62" fillId="13" borderId="20" xfId="5" applyNumberFormat="1" applyFont="1" applyFill="1" applyBorder="1" applyAlignment="1">
      <alignment vertical="center"/>
    </xf>
    <xf numFmtId="0" fontId="64" fillId="0" borderId="20" xfId="0" applyFont="1" applyBorder="1" applyAlignment="1">
      <alignment vertical="center"/>
    </xf>
    <xf numFmtId="10" fontId="62" fillId="0" borderId="20" xfId="1" applyNumberFormat="1" applyFont="1" applyFill="1" applyBorder="1" applyAlignment="1">
      <alignment horizontal="left" vertical="center"/>
    </xf>
    <xf numFmtId="0" fontId="62" fillId="0" borderId="20" xfId="0" applyFont="1" applyBorder="1"/>
    <xf numFmtId="1" fontId="66" fillId="2" borderId="20" xfId="0" applyNumberFormat="1" applyFont="1" applyFill="1" applyBorder="1" applyAlignment="1">
      <alignment horizontal="center" vertical="center"/>
    </xf>
    <xf numFmtId="0" fontId="66" fillId="2" borderId="20" xfId="0" applyFont="1" applyFill="1" applyBorder="1" applyAlignment="1">
      <alignment horizontal="left" vertical="center"/>
    </xf>
    <xf numFmtId="0" fontId="66" fillId="2" borderId="20" xfId="0" applyFont="1" applyFill="1" applyBorder="1" applyAlignment="1">
      <alignment vertical="center"/>
    </xf>
    <xf numFmtId="4" fontId="66" fillId="2" borderId="25" xfId="0" applyNumberFormat="1" applyFont="1" applyFill="1" applyBorder="1" applyAlignment="1">
      <alignment vertical="center"/>
    </xf>
    <xf numFmtId="4" fontId="66" fillId="2" borderId="20" xfId="1" applyNumberFormat="1" applyFont="1" applyFill="1" applyBorder="1" applyAlignment="1">
      <alignment vertical="center"/>
    </xf>
    <xf numFmtId="4" fontId="66" fillId="2" borderId="20" xfId="0" applyNumberFormat="1" applyFont="1" applyFill="1" applyBorder="1" applyAlignment="1">
      <alignment vertical="center"/>
    </xf>
    <xf numFmtId="4" fontId="66" fillId="2" borderId="32" xfId="1" applyNumberFormat="1" applyFont="1" applyFill="1" applyBorder="1" applyAlignment="1">
      <alignment vertical="center"/>
    </xf>
    <xf numFmtId="0" fontId="65" fillId="0" borderId="0" xfId="0" applyFont="1" applyAlignment="1">
      <alignment horizontal="center" vertical="top"/>
    </xf>
    <xf numFmtId="0" fontId="60" fillId="0" borderId="0" xfId="0" applyFont="1" applyAlignment="1">
      <alignment vertical="top" wrapText="1"/>
    </xf>
    <xf numFmtId="0" fontId="60" fillId="0" borderId="0" xfId="0" applyFont="1" applyAlignment="1">
      <alignment horizontal="justify" vertical="center" wrapText="1"/>
    </xf>
    <xf numFmtId="0" fontId="64" fillId="0" borderId="0" xfId="0" applyFont="1" applyAlignment="1">
      <alignment wrapText="1"/>
    </xf>
    <xf numFmtId="0" fontId="64" fillId="0" borderId="0" xfId="0" applyFont="1" applyAlignment="1">
      <alignment horizontal="left" vertical="center"/>
    </xf>
    <xf numFmtId="0" fontId="64" fillId="0" borderId="0" xfId="0" applyFont="1" applyAlignment="1">
      <alignment horizontal="center" vertical="center"/>
    </xf>
    <xf numFmtId="0" fontId="64" fillId="0" borderId="0" xfId="0" applyFont="1" applyAlignment="1">
      <alignment horizontal="justify" vertical="center" wrapText="1"/>
    </xf>
    <xf numFmtId="2" fontId="75" fillId="0" borderId="0" xfId="0" applyNumberFormat="1" applyFont="1"/>
    <xf numFmtId="4" fontId="76" fillId="0" borderId="0" xfId="0" applyNumberFormat="1" applyFont="1" applyAlignment="1">
      <alignment horizontal="right" vertical="center"/>
    </xf>
    <xf numFmtId="168" fontId="76" fillId="0" borderId="0" xfId="0" applyNumberFormat="1" applyFont="1" applyAlignment="1">
      <alignment horizontal="center" vertical="center"/>
    </xf>
    <xf numFmtId="0" fontId="77" fillId="0" borderId="0" xfId="0" applyFont="1" applyAlignment="1">
      <alignment vertical="center"/>
    </xf>
    <xf numFmtId="0" fontId="77" fillId="0" borderId="20" xfId="0" applyFont="1" applyBorder="1" applyAlignment="1">
      <alignment horizontal="center" vertical="center"/>
    </xf>
    <xf numFmtId="0" fontId="77" fillId="0" borderId="20" xfId="0" applyFont="1" applyBorder="1" applyAlignment="1">
      <alignment horizontal="justify" vertical="center" wrapText="1"/>
    </xf>
    <xf numFmtId="0" fontId="77" fillId="0" borderId="0" xfId="0" applyFont="1" applyAlignment="1">
      <alignment horizontal="center" vertical="top"/>
    </xf>
    <xf numFmtId="0" fontId="75" fillId="0" borderId="0" xfId="0" applyFont="1" applyAlignment="1">
      <alignment vertical="top" wrapText="1"/>
    </xf>
    <xf numFmtId="0" fontId="75" fillId="0" borderId="0" xfId="0" applyFont="1" applyAlignment="1">
      <alignment horizontal="justify" vertical="center" wrapText="1"/>
    </xf>
    <xf numFmtId="0" fontId="76" fillId="0" borderId="0" xfId="0" applyFont="1" applyAlignment="1">
      <alignment horizontal="left" vertical="center"/>
    </xf>
    <xf numFmtId="0" fontId="75" fillId="0" borderId="0" xfId="0" applyFont="1"/>
    <xf numFmtId="0" fontId="75" fillId="0" borderId="0" xfId="0" applyFont="1" applyAlignment="1">
      <alignment vertical="center"/>
    </xf>
    <xf numFmtId="0" fontId="77" fillId="0" borderId="0" xfId="0" applyFont="1"/>
    <xf numFmtId="4" fontId="75" fillId="0" borderId="0" xfId="0" applyNumberFormat="1" applyFont="1" applyAlignment="1">
      <alignment horizontal="left" vertical="center"/>
    </xf>
    <xf numFmtId="4" fontId="75" fillId="0" borderId="0" xfId="0" applyNumberFormat="1" applyFont="1" applyAlignment="1">
      <alignment vertical="center"/>
    </xf>
    <xf numFmtId="4" fontId="78" fillId="2" borderId="29" xfId="0" applyNumberFormat="1" applyFont="1" applyFill="1" applyBorder="1" applyAlignment="1">
      <alignment horizontal="center" vertical="center"/>
    </xf>
    <xf numFmtId="4" fontId="78" fillId="2" borderId="30" xfId="0" applyNumberFormat="1" applyFont="1" applyFill="1" applyBorder="1" applyAlignment="1">
      <alignment horizontal="center" vertical="center"/>
    </xf>
    <xf numFmtId="0" fontId="78" fillId="2" borderId="30" xfId="0" applyFont="1" applyFill="1" applyBorder="1" applyAlignment="1">
      <alignment horizontal="center" vertical="center"/>
    </xf>
    <xf numFmtId="4" fontId="78" fillId="2" borderId="31" xfId="0" applyNumberFormat="1" applyFont="1" applyFill="1" applyBorder="1" applyAlignment="1">
      <alignment horizontal="center" vertical="center"/>
    </xf>
    <xf numFmtId="0" fontId="79" fillId="14" borderId="32" xfId="0" applyFont="1" applyFill="1" applyBorder="1" applyAlignment="1">
      <alignment horizontal="center" vertical="center"/>
    </xf>
    <xf numFmtId="0" fontId="79" fillId="14" borderId="20" xfId="0" applyFont="1" applyFill="1" applyBorder="1" applyAlignment="1">
      <alignment horizontal="justify" vertical="center"/>
    </xf>
    <xf numFmtId="4" fontId="79" fillId="14" borderId="32" xfId="0" applyNumberFormat="1" applyFont="1" applyFill="1" applyBorder="1" applyAlignment="1">
      <alignment vertical="center"/>
    </xf>
    <xf numFmtId="0" fontId="79" fillId="14" borderId="20" xfId="0" applyFont="1" applyFill="1" applyBorder="1" applyAlignment="1">
      <alignment horizontal="center" vertical="center"/>
    </xf>
    <xf numFmtId="4" fontId="79" fillId="14" borderId="26" xfId="0" applyNumberFormat="1" applyFont="1" applyFill="1" applyBorder="1" applyAlignment="1">
      <alignment horizontal="center" vertical="center"/>
    </xf>
    <xf numFmtId="10" fontId="79" fillId="14" borderId="32" xfId="1" applyNumberFormat="1" applyFont="1" applyFill="1" applyBorder="1" applyAlignment="1">
      <alignment horizontal="center" vertical="center"/>
    </xf>
    <xf numFmtId="0" fontId="75" fillId="0" borderId="20" xfId="0" applyFont="1" applyBorder="1" applyAlignment="1">
      <alignment horizontal="center" vertical="center"/>
    </xf>
    <xf numFmtId="0" fontId="75" fillId="0" borderId="20" xfId="0" applyFont="1" applyBorder="1" applyAlignment="1">
      <alignment horizontal="left" vertical="center"/>
    </xf>
    <xf numFmtId="4" fontId="75" fillId="0" borderId="20" xfId="0" applyNumberFormat="1" applyFont="1" applyBorder="1" applyAlignment="1">
      <alignment vertical="center"/>
    </xf>
    <xf numFmtId="4" fontId="75" fillId="0" borderId="20" xfId="0" applyNumberFormat="1" applyFont="1" applyBorder="1" applyAlignment="1">
      <alignment horizontal="center" vertical="center"/>
    </xf>
    <xf numFmtId="0" fontId="75" fillId="0" borderId="20" xfId="0" applyFont="1" applyBorder="1" applyAlignment="1">
      <alignment horizontal="center" vertical="center" wrapText="1"/>
    </xf>
    <xf numFmtId="10" fontId="80" fillId="0" borderId="20" xfId="1" applyNumberFormat="1" applyFont="1" applyFill="1" applyBorder="1" applyAlignment="1">
      <alignment horizontal="center" vertical="center"/>
    </xf>
    <xf numFmtId="4" fontId="75" fillId="0" borderId="0" xfId="0" applyNumberFormat="1" applyFont="1"/>
    <xf numFmtId="0" fontId="76" fillId="0" borderId="20" xfId="0" applyFont="1" applyBorder="1" applyAlignment="1">
      <alignment horizontal="justify" vertical="center" wrapText="1"/>
    </xf>
    <xf numFmtId="4" fontId="76" fillId="0" borderId="20" xfId="0" applyNumberFormat="1" applyFont="1" applyBorder="1" applyAlignment="1">
      <alignment horizontal="center" vertical="center"/>
    </xf>
    <xf numFmtId="10" fontId="81" fillId="0" borderId="20" xfId="1" applyNumberFormat="1" applyFont="1" applyFill="1" applyBorder="1" applyAlignment="1">
      <alignment horizontal="center" vertical="center"/>
    </xf>
    <xf numFmtId="165" fontId="75" fillId="0" borderId="0" xfId="1" applyNumberFormat="1" applyFont="1"/>
    <xf numFmtId="4" fontId="78" fillId="2" borderId="26" xfId="0" applyNumberFormat="1" applyFont="1" applyFill="1" applyBorder="1" applyAlignment="1">
      <alignment horizontal="center" vertical="center"/>
    </xf>
    <xf numFmtId="0" fontId="78" fillId="2" borderId="20" xfId="0" applyFont="1" applyFill="1" applyBorder="1" applyAlignment="1">
      <alignment horizontal="center" vertical="center"/>
    </xf>
    <xf numFmtId="4" fontId="78" fillId="2" borderId="26" xfId="0" applyNumberFormat="1" applyFont="1" applyFill="1" applyBorder="1" applyAlignment="1">
      <alignment horizontal="center" vertical="center"/>
    </xf>
    <xf numFmtId="3" fontId="75" fillId="0" borderId="20" xfId="0" applyNumberFormat="1" applyFont="1" applyBorder="1" applyAlignment="1">
      <alignment horizontal="center" vertical="center"/>
    </xf>
    <xf numFmtId="2" fontId="75" fillId="0" borderId="20" xfId="0" applyNumberFormat="1" applyFont="1" applyBorder="1" applyAlignment="1">
      <alignment horizontal="center" vertical="center"/>
    </xf>
    <xf numFmtId="4" fontId="78" fillId="2" borderId="33" xfId="0" applyNumberFormat="1" applyFont="1" applyFill="1" applyBorder="1" applyAlignment="1">
      <alignment horizontal="center" vertical="center"/>
    </xf>
    <xf numFmtId="4" fontId="78" fillId="2" borderId="17" xfId="0" applyNumberFormat="1" applyFont="1" applyFill="1" applyBorder="1" applyAlignment="1">
      <alignment horizontal="center" vertical="center"/>
    </xf>
    <xf numFmtId="0" fontId="78" fillId="2" borderId="31" xfId="0" applyFont="1" applyFill="1" applyBorder="1" applyAlignment="1">
      <alignment horizontal="center" vertical="center"/>
    </xf>
    <xf numFmtId="0" fontId="78" fillId="2" borderId="34" xfId="0" applyFont="1" applyFill="1" applyBorder="1" applyAlignment="1">
      <alignment horizontal="center" vertical="center"/>
    </xf>
    <xf numFmtId="3" fontId="77" fillId="17" borderId="20" xfId="4" applyNumberFormat="1" applyFont="1" applyFill="1" applyBorder="1" applyAlignment="1">
      <alignment horizontal="center" vertical="center"/>
    </xf>
    <xf numFmtId="0" fontId="79" fillId="17" borderId="20" xfId="0" applyFont="1" applyFill="1" applyBorder="1" applyAlignment="1">
      <alignment horizontal="left" vertical="center"/>
    </xf>
    <xf numFmtId="0" fontId="77" fillId="17" borderId="20" xfId="0" applyFont="1" applyFill="1" applyBorder="1" applyAlignment="1">
      <alignment horizontal="center" vertical="center"/>
    </xf>
    <xf numFmtId="4" fontId="77" fillId="17" borderId="20" xfId="4" applyNumberFormat="1" applyFont="1" applyFill="1" applyBorder="1" applyAlignment="1">
      <alignment horizontal="center" vertical="center"/>
    </xf>
    <xf numFmtId="4" fontId="75" fillId="17" borderId="20" xfId="0" applyNumberFormat="1" applyFont="1" applyFill="1" applyBorder="1" applyAlignment="1">
      <alignment horizontal="center" vertical="center"/>
    </xf>
    <xf numFmtId="4" fontId="76" fillId="17" borderId="20" xfId="0" applyNumberFormat="1" applyFont="1" applyFill="1" applyBorder="1" applyAlignment="1">
      <alignment horizontal="center" vertical="center"/>
    </xf>
    <xf numFmtId="10" fontId="81" fillId="17" borderId="20" xfId="1" applyNumberFormat="1" applyFont="1" applyFill="1" applyBorder="1" applyAlignment="1">
      <alignment horizontal="center" vertical="center"/>
    </xf>
    <xf numFmtId="4" fontId="77" fillId="0" borderId="20" xfId="4" applyNumberFormat="1" applyFont="1" applyFill="1" applyBorder="1" applyAlignment="1">
      <alignment horizontal="center" vertical="center"/>
    </xf>
    <xf numFmtId="3" fontId="77" fillId="0" borderId="20" xfId="4" applyNumberFormat="1" applyFont="1" applyFill="1" applyBorder="1" applyAlignment="1">
      <alignment horizontal="center" vertical="center"/>
    </xf>
    <xf numFmtId="1" fontId="77" fillId="0" borderId="20" xfId="4" applyNumberFormat="1" applyFont="1" applyFill="1" applyBorder="1" applyAlignment="1">
      <alignment horizontal="center" vertical="center" wrapText="1"/>
    </xf>
    <xf numFmtId="0" fontId="75" fillId="0" borderId="20" xfId="0" applyFont="1" applyBorder="1" applyAlignment="1">
      <alignment horizontal="justify" vertical="center" wrapText="1"/>
    </xf>
    <xf numFmtId="2" fontId="75" fillId="0" borderId="35" xfId="0" applyNumberFormat="1" applyFont="1" applyBorder="1" applyAlignment="1">
      <alignment horizontal="center" vertical="center"/>
    </xf>
    <xf numFmtId="3" fontId="75" fillId="0" borderId="35" xfId="0" applyNumberFormat="1" applyFont="1" applyBorder="1" applyAlignment="1">
      <alignment horizontal="center" vertical="center"/>
    </xf>
    <xf numFmtId="4" fontId="75" fillId="0" borderId="35" xfId="0" applyNumberFormat="1" applyFont="1" applyBorder="1" applyAlignment="1">
      <alignment vertical="center"/>
    </xf>
    <xf numFmtId="0" fontId="77" fillId="0" borderId="20" xfId="0" applyFont="1" applyBorder="1" applyAlignment="1">
      <alignment horizontal="justify" vertical="center"/>
    </xf>
    <xf numFmtId="4" fontId="77" fillId="0" borderId="20" xfId="0" applyNumberFormat="1" applyFont="1" applyBorder="1" applyAlignment="1">
      <alignment horizontal="center" vertical="center"/>
    </xf>
    <xf numFmtId="4" fontId="77" fillId="0" borderId="20" xfId="0" applyNumberFormat="1" applyFont="1" applyBorder="1" applyAlignment="1">
      <alignment horizontal="justify" vertical="center"/>
    </xf>
    <xf numFmtId="4" fontId="83" fillId="2" borderId="20" xfId="0" applyNumberFormat="1" applyFont="1" applyFill="1" applyBorder="1" applyAlignment="1">
      <alignment horizontal="center" vertical="center"/>
    </xf>
    <xf numFmtId="4" fontId="82" fillId="2" borderId="20" xfId="0" applyNumberFormat="1" applyFont="1" applyFill="1" applyBorder="1" applyAlignment="1">
      <alignment vertical="center"/>
    </xf>
    <xf numFmtId="4" fontId="83" fillId="2" borderId="20" xfId="0" applyNumberFormat="1" applyFont="1" applyFill="1" applyBorder="1" applyAlignment="1">
      <alignment horizontal="right" vertical="center"/>
    </xf>
    <xf numFmtId="4" fontId="83" fillId="2" borderId="32" xfId="0" applyNumberFormat="1" applyFont="1" applyFill="1" applyBorder="1" applyAlignment="1">
      <alignment horizontal="center" vertical="center"/>
    </xf>
    <xf numFmtId="10" fontId="83" fillId="2" borderId="32" xfId="1" applyNumberFormat="1" applyFont="1" applyFill="1" applyBorder="1" applyAlignment="1">
      <alignment horizontal="center" vertical="center"/>
    </xf>
    <xf numFmtId="0" fontId="75" fillId="0" borderId="20" xfId="0" applyFont="1" applyBorder="1"/>
    <xf numFmtId="0" fontId="78" fillId="2" borderId="20" xfId="0" applyFont="1" applyFill="1" applyBorder="1" applyAlignment="1">
      <alignment vertical="center" wrapText="1"/>
    </xf>
    <xf numFmtId="43" fontId="77" fillId="0" borderId="20" xfId="5" applyNumberFormat="1" applyFont="1" applyFill="1" applyBorder="1" applyAlignment="1">
      <alignment horizontal="center" vertical="center"/>
    </xf>
    <xf numFmtId="170" fontId="77" fillId="0" borderId="20" xfId="5" applyNumberFormat="1" applyFont="1" applyFill="1" applyBorder="1" applyAlignment="1">
      <alignment horizontal="center" vertical="center"/>
    </xf>
    <xf numFmtId="43" fontId="77" fillId="0" borderId="20" xfId="5" applyNumberFormat="1" applyFont="1" applyFill="1" applyBorder="1" applyAlignment="1">
      <alignment vertical="center"/>
    </xf>
    <xf numFmtId="169" fontId="79" fillId="0" borderId="20" xfId="0" applyNumberFormat="1" applyFont="1" applyBorder="1" applyAlignment="1">
      <alignment horizontal="center" vertical="center"/>
    </xf>
    <xf numFmtId="169" fontId="77" fillId="0" borderId="20" xfId="5" applyFont="1" applyFill="1" applyBorder="1" applyAlignment="1">
      <alignment vertical="center"/>
    </xf>
    <xf numFmtId="0" fontId="77" fillId="13" borderId="20" xfId="0" applyFont="1" applyFill="1" applyBorder="1" applyAlignment="1">
      <alignment horizontal="left" vertical="center"/>
    </xf>
    <xf numFmtId="43" fontId="77" fillId="13" borderId="20" xfId="5" applyNumberFormat="1" applyFont="1" applyFill="1" applyBorder="1" applyAlignment="1">
      <alignment horizontal="left" vertical="center"/>
    </xf>
    <xf numFmtId="0" fontId="77" fillId="13" borderId="20" xfId="0" applyFont="1" applyFill="1" applyBorder="1"/>
    <xf numFmtId="169" fontId="79" fillId="13" borderId="20" xfId="0" applyNumberFormat="1" applyFont="1" applyFill="1" applyBorder="1" applyAlignment="1">
      <alignment horizontal="center" vertical="center"/>
    </xf>
    <xf numFmtId="0" fontId="75" fillId="13" borderId="20" xfId="0" applyFont="1" applyFill="1" applyBorder="1" applyAlignment="1">
      <alignment vertical="center"/>
    </xf>
    <xf numFmtId="4" fontId="75" fillId="13" borderId="20" xfId="0" applyNumberFormat="1" applyFont="1" applyFill="1" applyBorder="1" applyAlignment="1">
      <alignment vertical="center"/>
    </xf>
    <xf numFmtId="10" fontId="77" fillId="13" borderId="20" xfId="1" applyNumberFormat="1" applyFont="1" applyFill="1" applyBorder="1" applyAlignment="1">
      <alignment vertical="center"/>
    </xf>
    <xf numFmtId="0" fontId="77" fillId="13" borderId="20" xfId="0" applyFont="1" applyFill="1" applyBorder="1" applyAlignment="1">
      <alignment vertical="center"/>
    </xf>
    <xf numFmtId="0" fontId="84" fillId="13" borderId="20" xfId="0" applyFont="1" applyFill="1" applyBorder="1" applyAlignment="1">
      <alignment horizontal="left" vertical="center"/>
    </xf>
    <xf numFmtId="10" fontId="77" fillId="13" borderId="20" xfId="1" applyNumberFormat="1" applyFont="1" applyFill="1" applyBorder="1" applyAlignment="1">
      <alignment horizontal="center" vertical="center"/>
    </xf>
    <xf numFmtId="43" fontId="77" fillId="13" borderId="20" xfId="5" applyNumberFormat="1" applyFont="1" applyFill="1" applyBorder="1" applyAlignment="1">
      <alignment vertical="center"/>
    </xf>
    <xf numFmtId="0" fontId="75" fillId="0" borderId="20" xfId="0" applyFont="1" applyBorder="1" applyAlignment="1">
      <alignment vertical="center"/>
    </xf>
    <xf numFmtId="10" fontId="77" fillId="0" borderId="20" xfId="1" applyNumberFormat="1" applyFont="1" applyFill="1" applyBorder="1" applyAlignment="1">
      <alignment horizontal="left" vertical="center"/>
    </xf>
    <xf numFmtId="0" fontId="77" fillId="0" borderId="20" xfId="0" applyFont="1" applyBorder="1"/>
    <xf numFmtId="1" fontId="78" fillId="2" borderId="20" xfId="0" applyNumberFormat="1" applyFont="1" applyFill="1" applyBorder="1" applyAlignment="1">
      <alignment horizontal="center" vertical="center"/>
    </xf>
    <xf numFmtId="0" fontId="78" fillId="2" borderId="20" xfId="0" applyFont="1" applyFill="1" applyBorder="1" applyAlignment="1">
      <alignment horizontal="left" vertical="center"/>
    </xf>
    <xf numFmtId="0" fontId="78" fillId="2" borderId="20" xfId="0" applyFont="1" applyFill="1" applyBorder="1" applyAlignment="1">
      <alignment vertical="center"/>
    </xf>
    <xf numFmtId="4" fontId="78" fillId="2" borderId="25" xfId="0" applyNumberFormat="1" applyFont="1" applyFill="1" applyBorder="1" applyAlignment="1">
      <alignment vertical="center"/>
    </xf>
    <xf numFmtId="4" fontId="78" fillId="2" borderId="20" xfId="1" applyNumberFormat="1" applyFont="1" applyFill="1" applyBorder="1" applyAlignment="1">
      <alignment vertical="center"/>
    </xf>
    <xf numFmtId="4" fontId="78" fillId="2" borderId="20" xfId="0" applyNumberFormat="1" applyFont="1" applyFill="1" applyBorder="1" applyAlignment="1">
      <alignment vertical="center"/>
    </xf>
    <xf numFmtId="4" fontId="78" fillId="2" borderId="32" xfId="1" applyNumberFormat="1" applyFont="1" applyFill="1" applyBorder="1" applyAlignment="1">
      <alignment vertical="center"/>
    </xf>
    <xf numFmtId="0" fontId="75" fillId="0" borderId="0" xfId="0" applyFont="1" applyAlignment="1">
      <alignment wrapText="1"/>
    </xf>
    <xf numFmtId="0" fontId="75" fillId="0" borderId="0" xfId="0" applyFont="1" applyAlignment="1">
      <alignment horizontal="left" vertical="center"/>
    </xf>
    <xf numFmtId="0" fontId="75" fillId="0" borderId="0" xfId="0" applyFont="1" applyAlignment="1">
      <alignment horizontal="center" vertical="center"/>
    </xf>
    <xf numFmtId="0" fontId="77" fillId="0" borderId="0" xfId="0" applyFont="1" applyAlignment="1">
      <alignment horizontal="center" vertical="center"/>
    </xf>
    <xf numFmtId="0" fontId="76" fillId="0" borderId="0" xfId="0" applyFont="1" applyAlignment="1">
      <alignment horizontal="right" vertical="center"/>
    </xf>
    <xf numFmtId="0" fontId="19" fillId="18" borderId="0" xfId="0" applyFont="1" applyFill="1" applyAlignment="1">
      <alignment vertical="center"/>
    </xf>
    <xf numFmtId="0" fontId="19" fillId="18" borderId="0" xfId="0" applyFont="1" applyFill="1" applyAlignment="1">
      <alignment horizontal="center" vertical="center"/>
    </xf>
    <xf numFmtId="3" fontId="39" fillId="0" borderId="1" xfId="0" applyNumberFormat="1" applyFont="1" applyBorder="1" applyAlignment="1">
      <alignment horizontal="center" vertical="center"/>
    </xf>
    <xf numFmtId="0" fontId="19" fillId="2" borderId="0" xfId="0" applyFont="1" applyFill="1" applyAlignment="1">
      <alignment horizontal="center" vertical="center"/>
    </xf>
    <xf numFmtId="0" fontId="19" fillId="2" borderId="0" xfId="0" applyFont="1" applyFill="1" applyAlignment="1">
      <alignment vertical="center"/>
    </xf>
    <xf numFmtId="3" fontId="19" fillId="2" borderId="0" xfId="0" applyNumberFormat="1" applyFont="1" applyFill="1" applyAlignment="1">
      <alignment vertical="center"/>
    </xf>
    <xf numFmtId="0" fontId="19" fillId="19" borderId="0" xfId="0" applyFont="1" applyFill="1" applyAlignment="1">
      <alignment horizontal="center" vertical="center"/>
    </xf>
    <xf numFmtId="0" fontId="19" fillId="19" borderId="0" xfId="0" applyFont="1" applyFill="1" applyAlignment="1">
      <alignment vertical="center"/>
    </xf>
    <xf numFmtId="0" fontId="23" fillId="19" borderId="0" xfId="0" applyFont="1" applyFill="1" applyAlignment="1">
      <alignment vertical="center"/>
    </xf>
    <xf numFmtId="3" fontId="19" fillId="19" borderId="0" xfId="0" applyNumberFormat="1" applyFont="1" applyFill="1" applyAlignment="1">
      <alignment vertical="center"/>
    </xf>
    <xf numFmtId="0" fontId="19" fillId="20" borderId="0" xfId="0" applyFont="1" applyFill="1" applyAlignment="1">
      <alignment horizontal="center" vertical="center"/>
    </xf>
    <xf numFmtId="0" fontId="19" fillId="20" borderId="0" xfId="0" applyFont="1" applyFill="1" applyAlignment="1">
      <alignment vertical="center"/>
    </xf>
    <xf numFmtId="0" fontId="23" fillId="20" borderId="0" xfId="0" applyFont="1" applyFill="1" applyAlignment="1">
      <alignment vertical="center"/>
    </xf>
    <xf numFmtId="3" fontId="19" fillId="20" borderId="0" xfId="0" applyNumberFormat="1" applyFont="1" applyFill="1" applyAlignment="1">
      <alignment vertical="center"/>
    </xf>
    <xf numFmtId="0" fontId="19" fillId="21" borderId="0" xfId="0" applyFont="1" applyFill="1" applyAlignment="1">
      <alignment horizontal="center" vertical="center"/>
    </xf>
    <xf numFmtId="0" fontId="19" fillId="21" borderId="0" xfId="0" applyFont="1" applyFill="1" applyAlignment="1">
      <alignment vertical="center"/>
    </xf>
    <xf numFmtId="0" fontId="23" fillId="21" borderId="0" xfId="0" applyFont="1" applyFill="1" applyAlignment="1">
      <alignment vertical="center"/>
    </xf>
    <xf numFmtId="3" fontId="19" fillId="21" borderId="0" xfId="0" applyNumberFormat="1" applyFont="1" applyFill="1" applyAlignment="1">
      <alignment vertical="center"/>
    </xf>
    <xf numFmtId="3" fontId="19" fillId="18" borderId="0" xfId="0" applyNumberFormat="1" applyFont="1" applyFill="1" applyAlignment="1">
      <alignment vertical="center"/>
    </xf>
    <xf numFmtId="4" fontId="34" fillId="0" borderId="0" xfId="0" applyNumberFormat="1" applyFont="1" applyAlignment="1">
      <alignment vertical="center"/>
    </xf>
    <xf numFmtId="0" fontId="19" fillId="2" borderId="58" xfId="0" applyFont="1" applyFill="1" applyBorder="1" applyAlignment="1">
      <alignment horizontal="center" vertical="center" wrapText="1"/>
    </xf>
    <xf numFmtId="3" fontId="19" fillId="2" borderId="21" xfId="0" applyNumberFormat="1" applyFont="1" applyFill="1" applyBorder="1" applyAlignment="1">
      <alignment vertical="center"/>
    </xf>
    <xf numFmtId="0" fontId="19" fillId="11" borderId="58" xfId="0" applyFont="1" applyFill="1" applyBorder="1" applyAlignment="1">
      <alignment horizontal="center" vertical="center" wrapText="1"/>
    </xf>
    <xf numFmtId="0" fontId="19" fillId="11" borderId="22" xfId="0" applyFont="1" applyFill="1" applyBorder="1" applyAlignment="1">
      <alignment horizontal="center" vertical="center" wrapText="1"/>
    </xf>
    <xf numFmtId="0" fontId="34" fillId="22" borderId="21" xfId="0" applyFont="1" applyFill="1" applyBorder="1" applyAlignment="1">
      <alignment vertical="center"/>
    </xf>
    <xf numFmtId="0" fontId="34" fillId="4" borderId="22" xfId="0" applyFont="1" applyFill="1" applyBorder="1" applyAlignment="1">
      <alignment horizontal="justify" vertical="center" wrapText="1"/>
    </xf>
    <xf numFmtId="0" fontId="35" fillId="0" borderId="21" xfId="0" applyFont="1" applyBorder="1" applyAlignment="1">
      <alignment vertical="center"/>
    </xf>
    <xf numFmtId="0" fontId="86" fillId="14" borderId="21" xfId="0" applyFont="1" applyFill="1" applyBorder="1" applyAlignment="1">
      <alignment vertical="center"/>
    </xf>
    <xf numFmtId="0" fontId="34" fillId="0" borderId="58" xfId="0" applyFont="1" applyBorder="1" applyAlignment="1">
      <alignment horizontal="center" vertical="center"/>
    </xf>
    <xf numFmtId="0" fontId="34" fillId="0" borderId="22" xfId="0" applyFont="1" applyBorder="1" applyAlignment="1">
      <alignment horizontal="justify" vertical="center" wrapText="1"/>
    </xf>
    <xf numFmtId="0" fontId="34" fillId="0" borderId="21" xfId="0" applyFont="1" applyBorder="1" applyAlignment="1">
      <alignment vertical="center"/>
    </xf>
    <xf numFmtId="0" fontId="34" fillId="0" borderId="22" xfId="0" applyFont="1" applyBorder="1" applyAlignment="1">
      <alignment vertical="center" wrapText="1"/>
    </xf>
    <xf numFmtId="3" fontId="19" fillId="22" borderId="21" xfId="0" applyNumberFormat="1" applyFont="1" applyFill="1" applyBorder="1" applyAlignment="1">
      <alignment vertical="center"/>
    </xf>
    <xf numFmtId="0" fontId="39" fillId="14" borderId="58" xfId="0" applyFont="1" applyFill="1" applyBorder="1" applyAlignment="1">
      <alignment horizontal="center" vertical="center"/>
    </xf>
    <xf numFmtId="0" fontId="39" fillId="14" borderId="22" xfId="0" applyFont="1" applyFill="1" applyBorder="1" applyAlignment="1">
      <alignment horizontal="center" vertical="center"/>
    </xf>
    <xf numFmtId="3" fontId="39" fillId="14" borderId="21" xfId="0" applyNumberFormat="1" applyFont="1" applyFill="1" applyBorder="1" applyAlignment="1">
      <alignment vertical="center"/>
    </xf>
    <xf numFmtId="0" fontId="34" fillId="4" borderId="22" xfId="0" applyFont="1" applyFill="1" applyBorder="1" applyAlignment="1">
      <alignment horizontal="center" vertical="center"/>
    </xf>
    <xf numFmtId="3" fontId="34" fillId="0" borderId="21" xfId="0" applyNumberFormat="1" applyFont="1" applyBorder="1" applyAlignment="1">
      <alignment vertical="center"/>
    </xf>
    <xf numFmtId="0" fontId="37" fillId="3" borderId="58" xfId="0" applyFont="1" applyFill="1" applyBorder="1" applyAlignment="1">
      <alignment horizontal="center" vertical="center"/>
    </xf>
    <xf numFmtId="0" fontId="37" fillId="3" borderId="22" xfId="0" applyFont="1" applyFill="1" applyBorder="1" applyAlignment="1">
      <alignment horizontal="center" vertical="center"/>
    </xf>
    <xf numFmtId="0" fontId="87" fillId="2" borderId="58" xfId="0" applyFont="1" applyFill="1" applyBorder="1" applyAlignment="1">
      <alignment horizontal="center" vertical="center" wrapText="1"/>
    </xf>
    <xf numFmtId="0" fontId="34" fillId="2" borderId="21" xfId="0" applyFont="1" applyFill="1" applyBorder="1" applyAlignment="1">
      <alignment vertical="center"/>
    </xf>
    <xf numFmtId="0" fontId="37" fillId="4" borderId="22" xfId="0" applyFont="1" applyFill="1" applyBorder="1" applyAlignment="1">
      <alignment horizontal="justify" vertical="center" wrapText="1"/>
    </xf>
    <xf numFmtId="0" fontId="39" fillId="14" borderId="21" xfId="0" applyFont="1" applyFill="1" applyBorder="1" applyAlignment="1">
      <alignment vertical="center"/>
    </xf>
    <xf numFmtId="0" fontId="34" fillId="0" borderId="22" xfId="0" applyFont="1" applyBorder="1" applyAlignment="1">
      <alignment horizontal="justify" vertical="center"/>
    </xf>
    <xf numFmtId="0" fontId="37" fillId="0" borderId="22" xfId="0" applyFont="1" applyBorder="1" applyAlignment="1">
      <alignment horizontal="justify" vertical="center" wrapText="1"/>
    </xf>
    <xf numFmtId="0" fontId="37" fillId="0" borderId="21" xfId="0" applyFont="1" applyBorder="1" applyAlignment="1">
      <alignment horizontal="justify" vertical="center" wrapText="1"/>
    </xf>
    <xf numFmtId="0" fontId="34" fillId="14" borderId="22" xfId="0" applyFont="1" applyFill="1" applyBorder="1" applyAlignment="1">
      <alignment horizontal="center" vertical="center"/>
    </xf>
    <xf numFmtId="0" fontId="87" fillId="19" borderId="58" xfId="0" applyFont="1" applyFill="1" applyBorder="1" applyAlignment="1">
      <alignment horizontal="center" vertical="center"/>
    </xf>
    <xf numFmtId="3" fontId="19" fillId="19" borderId="21" xfId="0" applyNumberFormat="1" applyFont="1" applyFill="1" applyBorder="1" applyAlignment="1">
      <alignment vertical="center"/>
    </xf>
    <xf numFmtId="0" fontId="36" fillId="23" borderId="58" xfId="0" applyFont="1" applyFill="1" applyBorder="1" applyAlignment="1">
      <alignment horizontal="center" vertical="center"/>
    </xf>
    <xf numFmtId="0" fontId="36" fillId="23" borderId="22" xfId="0" applyFont="1" applyFill="1" applyBorder="1" applyAlignment="1">
      <alignment horizontal="center" vertical="center"/>
    </xf>
    <xf numFmtId="3" fontId="39" fillId="24" borderId="21" xfId="0" applyNumberFormat="1" applyFont="1" applyFill="1" applyBorder="1" applyAlignment="1">
      <alignment vertical="center"/>
    </xf>
    <xf numFmtId="0" fontId="34" fillId="24" borderId="21" xfId="0" applyFont="1" applyFill="1" applyBorder="1" applyAlignment="1">
      <alignment vertical="center"/>
    </xf>
    <xf numFmtId="0" fontId="39" fillId="25" borderId="58" xfId="0" applyFont="1" applyFill="1" applyBorder="1" applyAlignment="1">
      <alignment horizontal="center" vertical="center"/>
    </xf>
    <xf numFmtId="0" fontId="39" fillId="25" borderId="22" xfId="0" applyFont="1" applyFill="1" applyBorder="1" applyAlignment="1">
      <alignment horizontal="center" vertical="center"/>
    </xf>
    <xf numFmtId="3" fontId="39" fillId="25" borderId="21" xfId="0" applyNumberFormat="1" applyFont="1" applyFill="1" applyBorder="1" applyAlignment="1">
      <alignment vertical="center"/>
    </xf>
    <xf numFmtId="0" fontId="34" fillId="3" borderId="58" xfId="0" applyFont="1" applyFill="1" applyBorder="1" applyAlignment="1">
      <alignment horizontal="center" vertical="center"/>
    </xf>
    <xf numFmtId="0" fontId="34" fillId="3" borderId="22" xfId="0" applyFont="1" applyFill="1" applyBorder="1" applyAlignment="1">
      <alignment horizontal="center" vertical="center"/>
    </xf>
    <xf numFmtId="0" fontId="39" fillId="25" borderId="65" xfId="0" applyFont="1" applyFill="1" applyBorder="1" applyAlignment="1">
      <alignment horizontal="center" vertical="center"/>
    </xf>
    <xf numFmtId="0" fontId="39" fillId="25" borderId="63" xfId="0" applyFont="1" applyFill="1" applyBorder="1" applyAlignment="1">
      <alignment horizontal="center" vertical="center"/>
    </xf>
    <xf numFmtId="0" fontId="37" fillId="3" borderId="22" xfId="0" applyFont="1" applyFill="1" applyBorder="1" applyAlignment="1">
      <alignment horizontal="justify" vertical="center" wrapText="1"/>
    </xf>
    <xf numFmtId="0" fontId="34" fillId="3" borderId="22" xfId="0" applyFont="1" applyFill="1" applyBorder="1" applyAlignment="1">
      <alignment horizontal="justify" vertical="center" wrapText="1"/>
    </xf>
    <xf numFmtId="0" fontId="39" fillId="23" borderId="58" xfId="0" applyFont="1" applyFill="1" applyBorder="1" applyAlignment="1">
      <alignment horizontal="center" vertical="center"/>
    </xf>
    <xf numFmtId="0" fontId="19" fillId="20" borderId="58" xfId="0" applyFont="1" applyFill="1" applyBorder="1" applyAlignment="1">
      <alignment horizontal="center" vertical="center"/>
    </xf>
    <xf numFmtId="3" fontId="19" fillId="20" borderId="21" xfId="0" applyNumberFormat="1" applyFont="1" applyFill="1" applyBorder="1" applyAlignment="1">
      <alignment vertical="center"/>
    </xf>
    <xf numFmtId="0" fontId="39" fillId="26" borderId="58" xfId="0" applyFont="1" applyFill="1" applyBorder="1" applyAlignment="1">
      <alignment horizontal="center" vertical="center"/>
    </xf>
    <xf numFmtId="0" fontId="39" fillId="26" borderId="22" xfId="0" applyFont="1" applyFill="1" applyBorder="1" applyAlignment="1">
      <alignment horizontal="center" vertical="center"/>
    </xf>
    <xf numFmtId="3" fontId="39" fillId="27" borderId="21" xfId="0" applyNumberFormat="1" applyFont="1" applyFill="1" applyBorder="1" applyAlignment="1">
      <alignment vertical="center"/>
    </xf>
    <xf numFmtId="0" fontId="34" fillId="27" borderId="21" xfId="0" applyFont="1" applyFill="1" applyBorder="1" applyAlignment="1">
      <alignment vertical="center"/>
    </xf>
    <xf numFmtId="0" fontId="39" fillId="28" borderId="58" xfId="0" applyFont="1" applyFill="1" applyBorder="1" applyAlignment="1">
      <alignment horizontal="center" vertical="center"/>
    </xf>
    <xf numFmtId="0" fontId="39" fillId="28" borderId="22" xfId="0" applyFont="1" applyFill="1" applyBorder="1" applyAlignment="1">
      <alignment horizontal="center" vertical="center"/>
    </xf>
    <xf numFmtId="3" fontId="39" fillId="28" borderId="21" xfId="0" applyNumberFormat="1" applyFont="1" applyFill="1" applyBorder="1" applyAlignment="1">
      <alignment vertical="center"/>
    </xf>
    <xf numFmtId="0" fontId="34" fillId="29" borderId="0" xfId="0" applyFont="1" applyFill="1" applyAlignment="1">
      <alignment vertical="center"/>
    </xf>
    <xf numFmtId="0" fontId="19" fillId="30" borderId="58" xfId="0" applyFont="1" applyFill="1" applyBorder="1" applyAlignment="1">
      <alignment horizontal="center" vertical="center" wrapText="1"/>
    </xf>
    <xf numFmtId="3" fontId="19" fillId="21" borderId="21" xfId="0" applyNumberFormat="1" applyFont="1" applyFill="1" applyBorder="1" applyAlignment="1">
      <alignment vertical="center"/>
    </xf>
    <xf numFmtId="0" fontId="39" fillId="31" borderId="58" xfId="0" applyFont="1" applyFill="1" applyBorder="1" applyAlignment="1">
      <alignment horizontal="center" vertical="center"/>
    </xf>
    <xf numFmtId="0" fontId="39" fillId="31" borderId="22" xfId="0" applyFont="1" applyFill="1" applyBorder="1" applyAlignment="1">
      <alignment horizontal="center" vertical="center"/>
    </xf>
    <xf numFmtId="0" fontId="34" fillId="31" borderId="21" xfId="0" applyFont="1" applyFill="1" applyBorder="1" applyAlignment="1">
      <alignment vertical="center"/>
    </xf>
    <xf numFmtId="0" fontId="34" fillId="3" borderId="22" xfId="0" applyFont="1" applyFill="1" applyBorder="1" applyAlignment="1">
      <alignment vertical="center" wrapText="1"/>
    </xf>
    <xf numFmtId="3" fontId="39" fillId="31" borderId="21" xfId="0" applyNumberFormat="1" applyFont="1" applyFill="1" applyBorder="1" applyAlignment="1">
      <alignment vertical="center"/>
    </xf>
    <xf numFmtId="0" fontId="39" fillId="31" borderId="67" xfId="0" applyFont="1" applyFill="1" applyBorder="1" applyAlignment="1">
      <alignment horizontal="center" vertical="center"/>
    </xf>
    <xf numFmtId="0" fontId="39" fillId="31" borderId="23" xfId="0" applyFont="1" applyFill="1" applyBorder="1" applyAlignment="1">
      <alignment horizontal="center" vertical="center"/>
    </xf>
    <xf numFmtId="0" fontId="34" fillId="31" borderId="24" xfId="0" applyFont="1" applyFill="1" applyBorder="1" applyAlignment="1">
      <alignment vertical="center"/>
    </xf>
    <xf numFmtId="0" fontId="39" fillId="32" borderId="21" xfId="0" applyFont="1" applyFill="1" applyBorder="1" applyAlignment="1">
      <alignment horizontal="center" vertical="center"/>
    </xf>
    <xf numFmtId="3" fontId="39" fillId="32" borderId="21" xfId="0" applyNumberFormat="1" applyFont="1" applyFill="1" applyBorder="1" applyAlignment="1">
      <alignment vertical="center"/>
    </xf>
    <xf numFmtId="9" fontId="41" fillId="3" borderId="21" xfId="0" applyNumberFormat="1" applyFont="1" applyFill="1" applyBorder="1" applyAlignment="1">
      <alignment horizontal="center" vertical="center"/>
    </xf>
    <xf numFmtId="0" fontId="34" fillId="3" borderId="21" xfId="0" applyFont="1" applyFill="1" applyBorder="1" applyAlignment="1">
      <alignment horizontal="center" vertical="center"/>
    </xf>
    <xf numFmtId="3" fontId="41" fillId="0" borderId="0" xfId="0" applyNumberFormat="1" applyFont="1" applyAlignment="1">
      <alignment horizontal="center" vertical="center"/>
    </xf>
    <xf numFmtId="0" fontId="41" fillId="0" borderId="0" xfId="0" applyFont="1" applyAlignment="1">
      <alignment vertical="center"/>
    </xf>
    <xf numFmtId="10" fontId="39" fillId="0" borderId="1" xfId="1" applyNumberFormat="1" applyFont="1" applyBorder="1" applyAlignment="1">
      <alignment horizontal="center" vertical="center"/>
    </xf>
    <xf numFmtId="10" fontId="19" fillId="2" borderId="0" xfId="1" applyNumberFormat="1" applyFont="1" applyFill="1" applyAlignment="1">
      <alignment horizontal="center" vertical="center"/>
    </xf>
    <xf numFmtId="10" fontId="19" fillId="19" borderId="0" xfId="1" applyNumberFormat="1" applyFont="1" applyFill="1" applyAlignment="1">
      <alignment horizontal="center" vertical="center"/>
    </xf>
    <xf numFmtId="10" fontId="19" fillId="20" borderId="0" xfId="1" applyNumberFormat="1" applyFont="1" applyFill="1" applyAlignment="1">
      <alignment horizontal="center" vertical="center"/>
    </xf>
    <xf numFmtId="10" fontId="19" fillId="21" borderId="0" xfId="1" applyNumberFormat="1" applyFont="1" applyFill="1" applyAlignment="1">
      <alignment horizontal="center" vertical="center"/>
    </xf>
    <xf numFmtId="10" fontId="19" fillId="18" borderId="0" xfId="1" applyNumberFormat="1" applyFont="1" applyFill="1" applyAlignment="1">
      <alignment horizontal="center" vertical="center"/>
    </xf>
    <xf numFmtId="10" fontId="19" fillId="2" borderId="21" xfId="1" applyNumberFormat="1" applyFont="1" applyFill="1" applyBorder="1" applyAlignment="1">
      <alignment horizontal="center" vertical="center"/>
    </xf>
    <xf numFmtId="171" fontId="19" fillId="22" borderId="21" xfId="1" applyNumberFormat="1" applyFont="1" applyFill="1" applyBorder="1" applyAlignment="1">
      <alignment horizontal="center" vertical="center"/>
    </xf>
    <xf numFmtId="10" fontId="19" fillId="19" borderId="21" xfId="1" applyNumberFormat="1" applyFont="1" applyFill="1" applyBorder="1" applyAlignment="1">
      <alignment horizontal="center" vertical="center"/>
    </xf>
    <xf numFmtId="10" fontId="39" fillId="24" borderId="21" xfId="1" applyNumberFormat="1" applyFont="1" applyFill="1" applyBorder="1" applyAlignment="1">
      <alignment horizontal="center" vertical="center"/>
    </xf>
    <xf numFmtId="10" fontId="19" fillId="20" borderId="21" xfId="1" applyNumberFormat="1" applyFont="1" applyFill="1" applyBorder="1" applyAlignment="1">
      <alignment horizontal="center" vertical="center"/>
    </xf>
    <xf numFmtId="10" fontId="39" fillId="27" borderId="21" xfId="1" applyNumberFormat="1" applyFont="1" applyFill="1" applyBorder="1" applyAlignment="1">
      <alignment horizontal="center" vertical="center"/>
    </xf>
    <xf numFmtId="10" fontId="19" fillId="21" borderId="21" xfId="1" applyNumberFormat="1" applyFont="1" applyFill="1" applyBorder="1" applyAlignment="1">
      <alignment horizontal="center" vertical="center"/>
    </xf>
    <xf numFmtId="0" fontId="39" fillId="31" borderId="21" xfId="0" applyFont="1" applyFill="1" applyBorder="1" applyAlignment="1">
      <alignment vertical="center"/>
    </xf>
    <xf numFmtId="10" fontId="39" fillId="31" borderId="21" xfId="1" applyNumberFormat="1" applyFont="1" applyFill="1" applyBorder="1" applyAlignment="1">
      <alignment horizontal="center" vertical="center"/>
    </xf>
    <xf numFmtId="3" fontId="75" fillId="0" borderId="20" xfId="0" applyNumberFormat="1" applyFont="1" applyBorder="1" applyAlignment="1">
      <alignment horizontal="center" vertical="center" wrapText="1"/>
    </xf>
    <xf numFmtId="0" fontId="75" fillId="0" borderId="35" xfId="0" applyFont="1" applyBorder="1" applyAlignment="1">
      <alignment horizontal="center" vertical="center"/>
    </xf>
    <xf numFmtId="4" fontId="75" fillId="0" borderId="35" xfId="0" applyNumberFormat="1" applyFont="1" applyBorder="1" applyAlignment="1">
      <alignment horizontal="center" vertical="center"/>
    </xf>
    <xf numFmtId="0" fontId="34" fillId="3" borderId="40" xfId="0" applyFont="1" applyFill="1" applyBorder="1" applyAlignment="1">
      <alignment horizontal="center" vertical="center" wrapText="1"/>
    </xf>
    <xf numFmtId="9" fontId="34" fillId="0" borderId="0" xfId="0" applyNumberFormat="1" applyFont="1" applyAlignment="1">
      <alignment horizontal="center" vertical="center"/>
    </xf>
    <xf numFmtId="0" fontId="88" fillId="0" borderId="0" xfId="0" applyFont="1" applyAlignment="1">
      <alignment horizontal="justify" vertical="center"/>
    </xf>
    <xf numFmtId="0" fontId="56" fillId="0" borderId="0" xfId="0" applyFont="1" applyAlignment="1">
      <alignment horizontal="justify" vertical="center"/>
    </xf>
    <xf numFmtId="0" fontId="34" fillId="0" borderId="22" xfId="0" applyFont="1" applyFill="1" applyBorder="1" applyAlignment="1">
      <alignment horizontal="center" vertical="center"/>
    </xf>
    <xf numFmtId="0" fontId="34" fillId="0" borderId="22" xfId="0" applyFont="1" applyFill="1" applyBorder="1" applyAlignment="1">
      <alignment vertical="center" wrapText="1"/>
    </xf>
    <xf numFmtId="0" fontId="19" fillId="2" borderId="23" xfId="0" applyFont="1" applyFill="1" applyBorder="1" applyAlignment="1">
      <alignment horizontal="left" vertical="center" wrapText="1"/>
    </xf>
    <xf numFmtId="9" fontId="41" fillId="0" borderId="0" xfId="0" applyNumberFormat="1" applyFont="1" applyAlignment="1">
      <alignment horizontal="center" vertical="center"/>
    </xf>
    <xf numFmtId="172" fontId="34" fillId="7" borderId="21" xfId="0" applyNumberFormat="1" applyFont="1" applyFill="1" applyBorder="1" applyAlignment="1">
      <alignment horizontal="center" vertical="center" wrapText="1"/>
    </xf>
    <xf numFmtId="0" fontId="34" fillId="3" borderId="40" xfId="0" applyFont="1" applyFill="1" applyBorder="1" applyAlignment="1">
      <alignment vertical="center" wrapText="1"/>
    </xf>
    <xf numFmtId="0" fontId="34" fillId="3" borderId="41" xfId="0" applyFont="1" applyFill="1" applyBorder="1" applyAlignment="1">
      <alignment vertical="center" wrapText="1"/>
    </xf>
    <xf numFmtId="3" fontId="34" fillId="7" borderId="21" xfId="0" applyNumberFormat="1" applyFont="1" applyFill="1" applyBorder="1" applyAlignment="1">
      <alignment horizontal="center" vertical="center" wrapText="1"/>
    </xf>
    <xf numFmtId="3" fontId="34" fillId="0" borderId="0" xfId="0" applyNumberFormat="1" applyFont="1" applyAlignment="1">
      <alignment horizontal="center" vertical="center"/>
    </xf>
    <xf numFmtId="3" fontId="34" fillId="4" borderId="21" xfId="0" applyNumberFormat="1" applyFont="1" applyFill="1" applyBorder="1" applyAlignment="1">
      <alignment vertical="center"/>
    </xf>
    <xf numFmtId="9" fontId="34" fillId="0" borderId="0" xfId="0" applyNumberFormat="1" applyFont="1" applyAlignment="1">
      <alignment vertical="center"/>
    </xf>
    <xf numFmtId="0" fontId="39" fillId="3" borderId="21" xfId="0" applyFont="1" applyFill="1" applyBorder="1" applyAlignment="1">
      <alignment horizontal="justify" vertical="center" wrapText="1"/>
    </xf>
    <xf numFmtId="0" fontId="19" fillId="21" borderId="23" xfId="0" applyFont="1" applyFill="1" applyBorder="1" applyAlignment="1">
      <alignment horizontal="center" vertical="center" wrapText="1"/>
    </xf>
    <xf numFmtId="0" fontId="19" fillId="21" borderId="1" xfId="0" applyFont="1" applyFill="1" applyBorder="1" applyAlignment="1">
      <alignment horizontal="center" vertical="center" wrapText="1"/>
    </xf>
    <xf numFmtId="0" fontId="19" fillId="21" borderId="24" xfId="0" applyFont="1" applyFill="1" applyBorder="1" applyAlignment="1">
      <alignment horizontal="center" vertical="center" wrapText="1"/>
    </xf>
    <xf numFmtId="0" fontId="19" fillId="21" borderId="36" xfId="0" applyFont="1" applyFill="1" applyBorder="1" applyAlignment="1">
      <alignment vertical="center" wrapText="1"/>
    </xf>
    <xf numFmtId="0" fontId="43" fillId="21" borderId="37" xfId="0" applyFont="1" applyFill="1" applyBorder="1" applyAlignment="1">
      <alignment vertical="center" wrapText="1"/>
    </xf>
    <xf numFmtId="0" fontId="19" fillId="21" borderId="43" xfId="0" applyFont="1" applyFill="1" applyBorder="1" applyAlignment="1">
      <alignment vertical="center" wrapText="1"/>
    </xf>
    <xf numFmtId="0" fontId="43" fillId="21" borderId="46" xfId="0" applyFont="1" applyFill="1" applyBorder="1" applyAlignment="1">
      <alignment vertical="center" wrapText="1"/>
    </xf>
    <xf numFmtId="0" fontId="19" fillId="21" borderId="44" xfId="0" applyFont="1" applyFill="1" applyBorder="1" applyAlignment="1">
      <alignment vertical="center" wrapText="1"/>
    </xf>
    <xf numFmtId="0" fontId="43" fillId="21" borderId="18" xfId="0" applyFont="1" applyFill="1" applyBorder="1" applyAlignment="1">
      <alignment vertical="center" wrapText="1"/>
    </xf>
    <xf numFmtId="0" fontId="19" fillId="21" borderId="49" xfId="0" applyFont="1" applyFill="1" applyBorder="1" applyAlignment="1">
      <alignment horizontal="left" vertical="center" wrapText="1"/>
    </xf>
    <xf numFmtId="0" fontId="19" fillId="21" borderId="46" xfId="0" applyFont="1" applyFill="1" applyBorder="1" applyAlignment="1">
      <alignment horizontal="center" vertical="center" wrapText="1"/>
    </xf>
    <xf numFmtId="0" fontId="19" fillId="21" borderId="44" xfId="0" applyFont="1" applyFill="1" applyBorder="1" applyAlignment="1">
      <alignment horizontal="left" vertical="center" wrapText="1"/>
    </xf>
    <xf numFmtId="0" fontId="19" fillId="21" borderId="1" xfId="0" applyFont="1" applyFill="1" applyBorder="1" applyAlignment="1">
      <alignment horizontal="left" vertical="center" wrapText="1"/>
    </xf>
    <xf numFmtId="0" fontId="19" fillId="21" borderId="42" xfId="0" applyFont="1" applyFill="1" applyBorder="1" applyAlignment="1">
      <alignment horizontal="left" vertical="center" wrapText="1"/>
    </xf>
    <xf numFmtId="0" fontId="19" fillId="21" borderId="47" xfId="0" applyFont="1" applyFill="1" applyBorder="1" applyAlignment="1">
      <alignment horizontal="left" vertical="center" wrapText="1"/>
    </xf>
    <xf numFmtId="0" fontId="38" fillId="33" borderId="21" xfId="0" applyFont="1" applyFill="1" applyBorder="1" applyAlignment="1">
      <alignment horizontal="center" vertical="center" wrapText="1"/>
    </xf>
    <xf numFmtId="0" fontId="36" fillId="32" borderId="50" xfId="0" applyFont="1" applyFill="1" applyBorder="1" applyAlignment="1">
      <alignment horizontal="center" vertical="center" wrapText="1"/>
    </xf>
    <xf numFmtId="0" fontId="34" fillId="3" borderId="40" xfId="0" applyFont="1" applyFill="1" applyBorder="1" applyAlignment="1">
      <alignment horizontal="center" vertical="center" wrapText="1"/>
    </xf>
    <xf numFmtId="0" fontId="34" fillId="3" borderId="40" xfId="0" applyFont="1" applyFill="1" applyBorder="1" applyAlignment="1">
      <alignment horizontal="center" vertical="center" wrapText="1"/>
    </xf>
    <xf numFmtId="1" fontId="78" fillId="2" borderId="20" xfId="0" applyNumberFormat="1" applyFont="1" applyFill="1" applyBorder="1" applyAlignment="1">
      <alignment horizontal="center" vertical="center" wrapText="1"/>
    </xf>
    <xf numFmtId="0" fontId="19" fillId="19" borderId="23" xfId="0" applyFont="1" applyFill="1" applyBorder="1" applyAlignment="1">
      <alignment horizontal="center" vertical="center" wrapText="1"/>
    </xf>
    <xf numFmtId="0" fontId="19" fillId="19" borderId="1" xfId="0" applyFont="1" applyFill="1" applyBorder="1" applyAlignment="1">
      <alignment horizontal="center" vertical="center" wrapText="1"/>
    </xf>
    <xf numFmtId="0" fontId="19" fillId="19" borderId="24" xfId="0" applyFont="1" applyFill="1" applyBorder="1" applyAlignment="1">
      <alignment horizontal="center" vertical="center" wrapText="1"/>
    </xf>
    <xf numFmtId="0" fontId="19" fillId="19" borderId="36" xfId="0" applyFont="1" applyFill="1" applyBorder="1" applyAlignment="1">
      <alignment vertical="center" wrapText="1"/>
    </xf>
    <xf numFmtId="0" fontId="43" fillId="19" borderId="37" xfId="0" applyFont="1" applyFill="1" applyBorder="1" applyAlignment="1">
      <alignment vertical="center" wrapText="1"/>
    </xf>
    <xf numFmtId="0" fontId="19" fillId="19" borderId="43" xfId="0" applyFont="1" applyFill="1" applyBorder="1" applyAlignment="1">
      <alignment vertical="center" wrapText="1"/>
    </xf>
    <xf numFmtId="0" fontId="43" fillId="19" borderId="46" xfId="0" applyFont="1" applyFill="1" applyBorder="1" applyAlignment="1">
      <alignment vertical="center" wrapText="1"/>
    </xf>
    <xf numFmtId="0" fontId="19" fillId="19" borderId="44" xfId="0" applyFont="1" applyFill="1" applyBorder="1" applyAlignment="1">
      <alignment vertical="center" wrapText="1"/>
    </xf>
    <xf numFmtId="0" fontId="43" fillId="19" borderId="18" xfId="0" applyFont="1" applyFill="1" applyBorder="1" applyAlignment="1">
      <alignment vertical="center" wrapText="1"/>
    </xf>
    <xf numFmtId="0" fontId="19" fillId="19" borderId="49" xfId="0" applyFont="1" applyFill="1" applyBorder="1" applyAlignment="1">
      <alignment horizontal="left" vertical="center" wrapText="1"/>
    </xf>
    <xf numFmtId="0" fontId="19" fillId="19" borderId="46" xfId="0" applyFont="1" applyFill="1" applyBorder="1" applyAlignment="1">
      <alignment horizontal="center" vertical="center" wrapText="1"/>
    </xf>
    <xf numFmtId="0" fontId="19" fillId="19" borderId="44" xfId="0" applyFont="1" applyFill="1" applyBorder="1" applyAlignment="1">
      <alignment horizontal="left" vertical="center" wrapText="1"/>
    </xf>
    <xf numFmtId="0" fontId="19" fillId="19" borderId="1" xfId="0" applyFont="1" applyFill="1" applyBorder="1" applyAlignment="1">
      <alignment horizontal="left" vertical="center" wrapText="1"/>
    </xf>
    <xf numFmtId="0" fontId="19" fillId="19" borderId="42" xfId="0" applyFont="1" applyFill="1" applyBorder="1" applyAlignment="1">
      <alignment horizontal="left" vertical="center" wrapText="1"/>
    </xf>
    <xf numFmtId="0" fontId="19" fillId="19" borderId="47" xfId="0" applyFont="1" applyFill="1" applyBorder="1" applyAlignment="1">
      <alignment horizontal="left" vertical="center" wrapText="1"/>
    </xf>
    <xf numFmtId="0" fontId="36" fillId="25" borderId="50" xfId="0" applyFont="1" applyFill="1" applyBorder="1" applyAlignment="1">
      <alignment horizontal="center" vertical="center" wrapText="1"/>
    </xf>
    <xf numFmtId="0" fontId="38" fillId="34" borderId="21" xfId="0" applyFont="1" applyFill="1" applyBorder="1" applyAlignment="1">
      <alignment horizontal="center" vertical="center" wrapText="1"/>
    </xf>
    <xf numFmtId="0" fontId="34" fillId="16" borderId="21" xfId="0" applyFont="1" applyFill="1" applyBorder="1" applyAlignment="1">
      <alignment horizontal="center" vertical="center" wrapText="1"/>
    </xf>
    <xf numFmtId="0" fontId="19" fillId="35" borderId="22" xfId="0" applyFont="1" applyFill="1" applyBorder="1" applyAlignment="1">
      <alignment horizontal="center" vertical="center"/>
    </xf>
    <xf numFmtId="0" fontId="19" fillId="35" borderId="21" xfId="0" applyFont="1" applyFill="1" applyBorder="1" applyAlignment="1">
      <alignment vertical="center" wrapText="1"/>
    </xf>
    <xf numFmtId="3" fontId="19" fillId="35" borderId="21" xfId="0" applyNumberFormat="1" applyFont="1" applyFill="1" applyBorder="1" applyAlignment="1">
      <alignment vertical="center"/>
    </xf>
    <xf numFmtId="0" fontId="19" fillId="35" borderId="22" xfId="0" applyFont="1" applyFill="1" applyBorder="1" applyAlignment="1">
      <alignment vertical="center" wrapText="1"/>
    </xf>
    <xf numFmtId="0" fontId="19" fillId="35" borderId="22" xfId="0" applyFont="1" applyFill="1" applyBorder="1" applyAlignment="1">
      <alignment horizontal="justify" vertical="center" wrapText="1"/>
    </xf>
    <xf numFmtId="0" fontId="19" fillId="35" borderId="61" xfId="0" applyFont="1" applyFill="1" applyBorder="1" applyAlignment="1">
      <alignment horizontal="justify" vertical="center" wrapText="1"/>
    </xf>
    <xf numFmtId="0" fontId="34" fillId="0" borderId="59" xfId="0" applyFont="1" applyBorder="1" applyAlignment="1">
      <alignment horizontal="justify" vertical="center" wrapText="1"/>
    </xf>
    <xf numFmtId="0" fontId="34" fillId="0" borderId="59" xfId="0" applyFont="1" applyBorder="1" applyAlignment="1">
      <alignment vertical="center" wrapText="1"/>
    </xf>
    <xf numFmtId="0" fontId="37" fillId="3" borderId="59" xfId="0" applyFont="1" applyFill="1" applyBorder="1" applyAlignment="1">
      <alignment vertical="center" wrapText="1"/>
    </xf>
    <xf numFmtId="0" fontId="34" fillId="0" borderId="59" xfId="0" applyFont="1" applyBorder="1" applyAlignment="1">
      <alignment horizontal="center" vertical="center"/>
    </xf>
    <xf numFmtId="0" fontId="34" fillId="3" borderId="59" xfId="0" applyFont="1" applyFill="1" applyBorder="1" applyAlignment="1">
      <alignment horizontal="justify" vertical="center" wrapText="1"/>
    </xf>
    <xf numFmtId="3" fontId="34" fillId="0" borderId="0" xfId="0" applyNumberFormat="1" applyFont="1" applyAlignment="1">
      <alignment vertical="center"/>
    </xf>
    <xf numFmtId="0" fontId="34" fillId="4" borderId="59" xfId="0" applyFont="1" applyFill="1" applyBorder="1" applyAlignment="1">
      <alignment horizontal="center" vertical="center" wrapText="1"/>
    </xf>
    <xf numFmtId="0" fontId="19" fillId="11" borderId="67" xfId="0" applyFont="1" applyFill="1" applyBorder="1" applyAlignment="1">
      <alignment horizontal="center" vertical="center" wrapText="1"/>
    </xf>
    <xf numFmtId="0" fontId="19" fillId="11" borderId="23" xfId="0" applyFont="1" applyFill="1" applyBorder="1" applyAlignment="1">
      <alignment horizontal="center" vertical="center" wrapText="1"/>
    </xf>
    <xf numFmtId="0" fontId="19" fillId="11" borderId="63" xfId="0" applyFont="1" applyFill="1" applyBorder="1" applyAlignment="1">
      <alignment horizontal="center" vertical="center" wrapText="1"/>
    </xf>
    <xf numFmtId="0" fontId="39" fillId="5" borderId="21" xfId="0" applyFont="1" applyFill="1" applyBorder="1" applyAlignment="1">
      <alignment horizontal="center"/>
    </xf>
    <xf numFmtId="0" fontId="85" fillId="5" borderId="21" xfId="6" applyFont="1" applyFill="1" applyBorder="1" applyAlignment="1">
      <alignment horizontal="center" vertical="center"/>
    </xf>
    <xf numFmtId="0" fontId="58" fillId="0" borderId="21" xfId="6" applyFill="1" applyBorder="1" applyAlignment="1">
      <alignment horizontal="center" vertical="center"/>
    </xf>
    <xf numFmtId="0" fontId="85" fillId="14" borderId="21" xfId="6" applyFont="1" applyFill="1" applyBorder="1" applyAlignment="1">
      <alignment horizontal="center" vertical="center"/>
    </xf>
    <xf numFmtId="14" fontId="91" fillId="0" borderId="0" xfId="0" applyNumberFormat="1" applyFont="1" applyAlignment="1">
      <alignment horizontal="center" vertical="center"/>
    </xf>
    <xf numFmtId="0" fontId="19" fillId="21" borderId="21" xfId="0" applyFont="1" applyFill="1" applyBorder="1" applyAlignment="1">
      <alignment horizontal="center" vertical="center" wrapText="1"/>
    </xf>
    <xf numFmtId="0" fontId="0" fillId="0" borderId="0" xfId="0" applyAlignment="1">
      <alignment horizontal="center" vertical="top"/>
    </xf>
    <xf numFmtId="0" fontId="24" fillId="0" borderId="1" xfId="0" applyFont="1" applyBorder="1" applyAlignment="1">
      <alignment horizontal="center" vertical="top"/>
    </xf>
    <xf numFmtId="0" fontId="94" fillId="2" borderId="1" xfId="0" applyFont="1" applyFill="1" applyBorder="1" applyAlignment="1">
      <alignment horizontal="center" vertical="top"/>
    </xf>
    <xf numFmtId="2" fontId="94" fillId="2" borderId="1" xfId="0" applyNumberFormat="1" applyFont="1" applyFill="1" applyBorder="1" applyAlignment="1">
      <alignment vertical="top"/>
    </xf>
    <xf numFmtId="0" fontId="93" fillId="35" borderId="1" xfId="0" applyFont="1" applyFill="1" applyBorder="1" applyAlignment="1">
      <alignment horizontal="center" vertical="top"/>
    </xf>
    <xf numFmtId="0" fontId="93" fillId="35" borderId="1" xfId="0" applyFont="1" applyFill="1" applyBorder="1" applyAlignment="1">
      <alignment horizontal="left" vertical="top"/>
    </xf>
    <xf numFmtId="0" fontId="24" fillId="0" borderId="1" xfId="0" applyFont="1" applyBorder="1" applyAlignment="1">
      <alignment horizontal="justify" vertical="top" wrapText="1"/>
    </xf>
    <xf numFmtId="0" fontId="95" fillId="35" borderId="1" xfId="0" applyFont="1" applyFill="1" applyBorder="1" applyAlignment="1">
      <alignment horizontal="center" vertical="top"/>
    </xf>
    <xf numFmtId="0" fontId="95" fillId="35" borderId="1" xfId="0" applyFont="1" applyFill="1" applyBorder="1" applyAlignment="1">
      <alignment horizontal="left" vertical="top"/>
    </xf>
    <xf numFmtId="0" fontId="93" fillId="31" borderId="1" xfId="0" applyFont="1" applyFill="1" applyBorder="1" applyAlignment="1">
      <alignment horizontal="center" vertical="top"/>
    </xf>
    <xf numFmtId="0" fontId="93" fillId="31" borderId="1" xfId="0" applyFont="1" applyFill="1" applyBorder="1" applyAlignment="1">
      <alignment horizontal="left" vertical="top"/>
    </xf>
    <xf numFmtId="0" fontId="93" fillId="4" borderId="1" xfId="0" applyFont="1" applyFill="1" applyBorder="1" applyAlignment="1">
      <alignment horizontal="center" vertical="top"/>
    </xf>
    <xf numFmtId="0" fontId="93" fillId="4" borderId="1" xfId="0" applyFont="1" applyFill="1" applyBorder="1" applyAlignment="1">
      <alignment horizontal="left" vertical="top"/>
    </xf>
    <xf numFmtId="0" fontId="93" fillId="35" borderId="1" xfId="0" applyFont="1" applyFill="1" applyBorder="1" applyAlignment="1">
      <alignment horizontal="center" vertical="top" wrapText="1"/>
    </xf>
    <xf numFmtId="0" fontId="93" fillId="35" borderId="1" xfId="0" applyFont="1" applyFill="1" applyBorder="1" applyAlignment="1">
      <alignment horizontal="justify" vertical="top" wrapText="1"/>
    </xf>
    <xf numFmtId="0" fontId="93" fillId="35" borderId="1" xfId="0" applyFont="1" applyFill="1" applyBorder="1" applyAlignment="1">
      <alignment horizontal="left" vertical="top" wrapText="1"/>
    </xf>
    <xf numFmtId="2" fontId="24" fillId="0" borderId="1" xfId="0" applyNumberFormat="1" applyFont="1" applyBorder="1" applyAlignment="1">
      <alignment horizontal="justify" vertical="top"/>
    </xf>
    <xf numFmtId="0" fontId="95" fillId="0" borderId="1" xfId="0" applyFont="1" applyBorder="1" applyAlignment="1">
      <alignment horizontal="center" vertical="top"/>
    </xf>
    <xf numFmtId="0" fontId="24" fillId="35" borderId="1" xfId="0" applyFont="1" applyFill="1" applyBorder="1" applyAlignment="1">
      <alignment horizontal="center" vertical="top"/>
    </xf>
    <xf numFmtId="0" fontId="9" fillId="0" borderId="0" xfId="0" applyFont="1" applyAlignment="1">
      <alignment horizontal="center" vertical="top"/>
    </xf>
    <xf numFmtId="0" fontId="24" fillId="31" borderId="1" xfId="0" applyFont="1" applyFill="1" applyBorder="1" applyAlignment="1">
      <alignment horizontal="center" vertical="top"/>
    </xf>
    <xf numFmtId="0" fontId="24" fillId="4" borderId="1" xfId="0" applyFont="1" applyFill="1" applyBorder="1" applyAlignment="1">
      <alignment horizontal="center" vertical="top"/>
    </xf>
    <xf numFmtId="0" fontId="24" fillId="36" borderId="1" xfId="0" applyFont="1" applyFill="1" applyBorder="1" applyAlignment="1">
      <alignment horizontal="center" vertical="top"/>
    </xf>
    <xf numFmtId="0" fontId="24" fillId="37" borderId="1" xfId="0" applyFont="1" applyFill="1" applyBorder="1" applyAlignment="1">
      <alignment horizontal="center" vertical="top"/>
    </xf>
    <xf numFmtId="0" fontId="32" fillId="0" borderId="1" xfId="0" applyFont="1" applyBorder="1" applyAlignment="1">
      <alignment vertical="center"/>
    </xf>
    <xf numFmtId="0" fontId="0" fillId="0" borderId="1" xfId="0" applyBorder="1" applyAlignment="1">
      <alignment horizontal="center" vertical="top"/>
    </xf>
    <xf numFmtId="0" fontId="9" fillId="0" borderId="1" xfId="0" applyFont="1" applyBorder="1" applyAlignment="1">
      <alignment horizontal="center" vertical="top"/>
    </xf>
    <xf numFmtId="0" fontId="34" fillId="0" borderId="39" xfId="0" applyFont="1" applyBorder="1" applyAlignment="1">
      <alignment vertical="center"/>
    </xf>
    <xf numFmtId="0" fontId="34" fillId="16" borderId="41" xfId="0" applyFont="1" applyFill="1" applyBorder="1" applyAlignment="1">
      <alignment horizontal="center" vertical="center"/>
    </xf>
    <xf numFmtId="0" fontId="37" fillId="4" borderId="22" xfId="0" applyFont="1" applyFill="1" applyBorder="1" applyAlignment="1">
      <alignment horizontal="center" vertical="center"/>
    </xf>
    <xf numFmtId="3" fontId="37" fillId="4" borderId="21" xfId="0" applyNumberFormat="1" applyFont="1" applyFill="1" applyBorder="1" applyAlignment="1">
      <alignment vertical="center"/>
    </xf>
    <xf numFmtId="0" fontId="39" fillId="23" borderId="67" xfId="0" applyFont="1" applyFill="1" applyBorder="1" applyAlignment="1">
      <alignment horizontal="center" vertical="center"/>
    </xf>
    <xf numFmtId="0" fontId="36" fillId="23" borderId="23" xfId="0" applyFont="1" applyFill="1" applyBorder="1" applyAlignment="1">
      <alignment horizontal="center" vertical="center"/>
    </xf>
    <xf numFmtId="0" fontId="34" fillId="24" borderId="24" xfId="0" applyFont="1" applyFill="1" applyBorder="1" applyAlignment="1">
      <alignment vertical="center"/>
    </xf>
    <xf numFmtId="0" fontId="19" fillId="20" borderId="65" xfId="0" applyFont="1" applyFill="1" applyBorder="1" applyAlignment="1">
      <alignment horizontal="center" vertical="center"/>
    </xf>
    <xf numFmtId="3" fontId="19" fillId="20" borderId="76" xfId="0" applyNumberFormat="1" applyFont="1" applyFill="1" applyBorder="1" applyAlignment="1">
      <alignment vertical="center"/>
    </xf>
    <xf numFmtId="0" fontId="34" fillId="4" borderId="21" xfId="0" applyFont="1" applyFill="1" applyBorder="1" applyAlignment="1">
      <alignment horizontal="center" vertical="center"/>
    </xf>
    <xf numFmtId="0" fontId="34" fillId="4" borderId="21" xfId="0" applyFont="1" applyFill="1" applyBorder="1" applyAlignment="1">
      <alignment horizontal="justify" vertical="center" wrapText="1"/>
    </xf>
    <xf numFmtId="0" fontId="19" fillId="35" borderId="22" xfId="0" applyFont="1" applyFill="1" applyBorder="1" applyAlignment="1">
      <alignment horizontal="center" vertical="center" wrapText="1"/>
    </xf>
    <xf numFmtId="0" fontId="0" fillId="0" borderId="0" xfId="0" applyAlignment="1">
      <alignment vertical="center"/>
    </xf>
    <xf numFmtId="0" fontId="97" fillId="2" borderId="0" xfId="0" applyFont="1" applyFill="1" applyAlignment="1">
      <alignment horizontal="center" vertical="center"/>
    </xf>
    <xf numFmtId="0" fontId="97" fillId="2" borderId="0" xfId="0" applyFont="1" applyFill="1" applyAlignment="1">
      <alignment horizontal="left" vertical="center"/>
    </xf>
    <xf numFmtId="0" fontId="0" fillId="3" borderId="0" xfId="0" applyFill="1" applyAlignment="1">
      <alignment vertical="center"/>
    </xf>
    <xf numFmtId="0" fontId="98" fillId="0" borderId="0" xfId="0" applyFont="1" applyAlignment="1">
      <alignment vertical="center"/>
    </xf>
    <xf numFmtId="3" fontId="98" fillId="0" borderId="0" xfId="0" applyNumberFormat="1" applyFont="1" applyAlignment="1">
      <alignment horizontal="center" vertical="center"/>
    </xf>
    <xf numFmtId="173" fontId="97" fillId="38" borderId="0" xfId="0" applyNumberFormat="1" applyFont="1" applyFill="1" applyAlignment="1">
      <alignment vertical="center"/>
    </xf>
    <xf numFmtId="9" fontId="0" fillId="0" borderId="0" xfId="0" applyNumberFormat="1" applyAlignment="1">
      <alignment horizontal="center" vertical="center"/>
    </xf>
    <xf numFmtId="173" fontId="0" fillId="0" borderId="0" xfId="0" applyNumberFormat="1" applyAlignment="1">
      <alignment vertical="center"/>
    </xf>
    <xf numFmtId="173" fontId="0" fillId="3" borderId="0" xfId="0" applyNumberFormat="1" applyFill="1" applyAlignment="1">
      <alignment vertical="center"/>
    </xf>
    <xf numFmtId="173" fontId="98" fillId="0" borderId="0" xfId="0" applyNumberFormat="1" applyFont="1" applyAlignment="1">
      <alignment vertical="center"/>
    </xf>
    <xf numFmtId="0" fontId="98" fillId="37" borderId="0" xfId="0" applyFont="1" applyFill="1" applyAlignment="1">
      <alignment vertical="center"/>
    </xf>
    <xf numFmtId="173" fontId="98" fillId="37" borderId="0" xfId="0" applyNumberFormat="1" applyFont="1" applyFill="1" applyAlignment="1">
      <alignment vertical="center"/>
    </xf>
    <xf numFmtId="0" fontId="98" fillId="31" borderId="0" xfId="0" applyFont="1" applyFill="1" applyAlignment="1">
      <alignment vertical="center"/>
    </xf>
    <xf numFmtId="1" fontId="0" fillId="0" borderId="0" xfId="0" applyNumberFormat="1" applyAlignment="1">
      <alignment horizontal="center" vertical="center"/>
    </xf>
    <xf numFmtId="173" fontId="98" fillId="31" borderId="0" xfId="0" applyNumberFormat="1" applyFont="1" applyFill="1" applyAlignment="1">
      <alignment vertical="center"/>
    </xf>
    <xf numFmtId="173" fontId="0" fillId="4" borderId="0" xfId="0" applyNumberFormat="1" applyFill="1" applyAlignment="1">
      <alignment vertical="center"/>
    </xf>
    <xf numFmtId="0" fontId="97" fillId="39" borderId="0" xfId="0" applyFont="1" applyFill="1" applyAlignment="1">
      <alignment vertical="center"/>
    </xf>
    <xf numFmtId="3" fontId="97" fillId="39" borderId="0" xfId="0" applyNumberFormat="1" applyFont="1" applyFill="1" applyAlignment="1">
      <alignment horizontal="center" vertical="center"/>
    </xf>
    <xf numFmtId="10" fontId="97" fillId="38" borderId="0" xfId="1" applyNumberFormat="1" applyFont="1" applyFill="1" applyAlignment="1">
      <alignment vertical="center"/>
    </xf>
    <xf numFmtId="2" fontId="0" fillId="0" borderId="0" xfId="0" applyNumberFormat="1" applyAlignment="1">
      <alignment horizontal="center" vertical="center"/>
    </xf>
    <xf numFmtId="173" fontId="99" fillId="4" borderId="0" xfId="0" applyNumberFormat="1" applyFont="1" applyFill="1" applyAlignment="1">
      <alignment vertical="center"/>
    </xf>
    <xf numFmtId="0" fontId="57" fillId="0" borderId="0" xfId="0" applyFont="1"/>
    <xf numFmtId="0" fontId="101" fillId="2" borderId="77" xfId="0" applyFont="1" applyFill="1" applyBorder="1" applyAlignment="1">
      <alignment horizontal="center" vertical="center" wrapText="1"/>
    </xf>
    <xf numFmtId="0" fontId="101" fillId="2" borderId="69" xfId="0" applyFont="1" applyFill="1" applyBorder="1" applyAlignment="1">
      <alignment horizontal="center" vertical="center" wrapText="1"/>
    </xf>
    <xf numFmtId="0" fontId="102" fillId="2" borderId="77" xfId="0" applyFont="1" applyFill="1" applyBorder="1" applyAlignment="1">
      <alignment horizontal="center" vertical="center" wrapText="1"/>
    </xf>
    <xf numFmtId="0" fontId="101" fillId="2" borderId="44" xfId="0" applyFont="1" applyFill="1" applyBorder="1" applyAlignment="1">
      <alignment horizontal="center" vertical="center" wrapText="1"/>
    </xf>
    <xf numFmtId="0" fontId="57" fillId="0" borderId="10" xfId="0" applyFont="1" applyBorder="1" applyAlignment="1">
      <alignment horizontal="center" vertical="center"/>
    </xf>
    <xf numFmtId="0" fontId="57" fillId="0" borderId="11" xfId="0" applyFont="1" applyBorder="1" applyAlignment="1">
      <alignment horizontal="center" vertical="center"/>
    </xf>
    <xf numFmtId="0" fontId="103" fillId="0" borderId="11" xfId="0" applyFont="1" applyBorder="1" applyAlignment="1">
      <alignment horizontal="center" vertical="center" wrapText="1"/>
    </xf>
    <xf numFmtId="44" fontId="57" fillId="0" borderId="11" xfId="0" applyNumberFormat="1" applyFont="1" applyBorder="1" applyAlignment="1">
      <alignment horizontal="center"/>
    </xf>
    <xf numFmtId="44" fontId="99" fillId="5" borderId="11" xfId="0" applyNumberFormat="1" applyFont="1" applyFill="1" applyBorder="1" applyAlignment="1">
      <alignment horizontal="center"/>
    </xf>
    <xf numFmtId="44" fontId="99" fillId="5" borderId="15" xfId="0" applyNumberFormat="1" applyFont="1" applyFill="1" applyBorder="1"/>
    <xf numFmtId="0" fontId="57" fillId="0" borderId="78" xfId="0" applyFont="1" applyBorder="1" applyAlignment="1">
      <alignment horizontal="center" vertical="center"/>
    </xf>
    <xf numFmtId="0" fontId="57" fillId="0" borderId="21" xfId="0" applyFont="1" applyBorder="1" applyAlignment="1">
      <alignment horizontal="center" vertical="center"/>
    </xf>
    <xf numFmtId="0" fontId="103" fillId="0" borderId="21" xfId="0" applyFont="1" applyBorder="1" applyAlignment="1">
      <alignment horizontal="center" vertical="center" wrapText="1"/>
    </xf>
    <xf numFmtId="44" fontId="57" fillId="0" borderId="21" xfId="0" applyNumberFormat="1" applyFont="1" applyBorder="1" applyAlignment="1">
      <alignment horizontal="center"/>
    </xf>
    <xf numFmtId="44" fontId="99" fillId="5" borderId="21" xfId="0" applyNumberFormat="1" applyFont="1" applyFill="1" applyBorder="1" applyAlignment="1">
      <alignment horizontal="center"/>
    </xf>
    <xf numFmtId="44" fontId="99" fillId="5" borderId="79" xfId="0" applyNumberFormat="1" applyFont="1" applyFill="1" applyBorder="1"/>
    <xf numFmtId="0" fontId="57" fillId="0" borderId="12" xfId="0" applyFont="1" applyBorder="1" applyAlignment="1">
      <alignment horizontal="center" vertical="center"/>
    </xf>
    <xf numFmtId="0" fontId="57" fillId="0" borderId="13" xfId="0" applyFont="1" applyBorder="1" applyAlignment="1">
      <alignment horizontal="center" vertical="center"/>
    </xf>
    <xf numFmtId="0" fontId="103" fillId="0" borderId="13" xfId="0" applyFont="1" applyBorder="1" applyAlignment="1">
      <alignment horizontal="center" vertical="center" wrapText="1"/>
    </xf>
    <xf numFmtId="44" fontId="57" fillId="0" borderId="13" xfId="0" applyNumberFormat="1" applyFont="1" applyBorder="1" applyAlignment="1">
      <alignment horizontal="center"/>
    </xf>
    <xf numFmtId="44" fontId="99" fillId="5" borderId="13" xfId="0" applyNumberFormat="1" applyFont="1" applyFill="1" applyBorder="1" applyAlignment="1">
      <alignment horizontal="center"/>
    </xf>
    <xf numFmtId="44" fontId="99" fillId="5" borderId="14" xfId="0" applyNumberFormat="1" applyFont="1" applyFill="1" applyBorder="1"/>
    <xf numFmtId="0" fontId="99" fillId="5" borderId="80" xfId="0" applyFont="1" applyFill="1" applyBorder="1" applyAlignment="1">
      <alignment horizontal="center" vertical="center"/>
    </xf>
    <xf numFmtId="0" fontId="99" fillId="5" borderId="81" xfId="0" applyFont="1" applyFill="1" applyBorder="1" applyAlignment="1">
      <alignment horizontal="center" vertical="center"/>
    </xf>
    <xf numFmtId="0" fontId="104" fillId="5" borderId="81" xfId="0" applyFont="1" applyFill="1" applyBorder="1" applyAlignment="1">
      <alignment horizontal="center" vertical="center" wrapText="1"/>
    </xf>
    <xf numFmtId="44" fontId="99" fillId="5" borderId="81" xfId="0" applyNumberFormat="1" applyFont="1" applyFill="1" applyBorder="1" applyAlignment="1">
      <alignment horizontal="center"/>
    </xf>
    <xf numFmtId="44" fontId="99" fillId="9" borderId="81" xfId="0" applyNumberFormat="1" applyFont="1" applyFill="1" applyBorder="1" applyAlignment="1">
      <alignment horizontal="center"/>
    </xf>
    <xf numFmtId="44" fontId="99" fillId="9" borderId="82" xfId="0" applyNumberFormat="1" applyFont="1" applyFill="1" applyBorder="1" applyAlignment="1">
      <alignment horizontal="center"/>
    </xf>
    <xf numFmtId="44" fontId="99" fillId="5" borderId="76" xfId="0" applyNumberFormat="1" applyFont="1" applyFill="1" applyBorder="1" applyAlignment="1">
      <alignment horizontal="center"/>
    </xf>
    <xf numFmtId="44" fontId="99" fillId="5" borderId="83" xfId="0" applyNumberFormat="1" applyFont="1" applyFill="1" applyBorder="1" applyAlignment="1">
      <alignment horizontal="center"/>
    </xf>
    <xf numFmtId="0" fontId="57" fillId="0" borderId="21" xfId="0" applyFont="1" applyBorder="1" applyAlignment="1">
      <alignment horizontal="center" vertical="center" wrapText="1"/>
    </xf>
    <xf numFmtId="0" fontId="104" fillId="5" borderId="84" xfId="0" applyFont="1" applyFill="1" applyBorder="1" applyAlignment="1">
      <alignment horizontal="center" vertical="center" wrapText="1"/>
    </xf>
    <xf numFmtId="0" fontId="104" fillId="5" borderId="83" xfId="0" applyFont="1" applyFill="1" applyBorder="1" applyAlignment="1">
      <alignment horizontal="center" vertical="center" wrapText="1"/>
    </xf>
    <xf numFmtId="0" fontId="99" fillId="5" borderId="83" xfId="0" applyFont="1" applyFill="1" applyBorder="1" applyAlignment="1">
      <alignment horizontal="center" vertical="center"/>
    </xf>
    <xf numFmtId="44" fontId="99" fillId="9" borderId="83" xfId="0" applyNumberFormat="1" applyFont="1" applyFill="1" applyBorder="1" applyAlignment="1">
      <alignment horizontal="center"/>
    </xf>
    <xf numFmtId="44" fontId="99" fillId="9" borderId="85" xfId="0" applyNumberFormat="1" applyFont="1" applyFill="1" applyBorder="1" applyAlignment="1">
      <alignment horizontal="center"/>
    </xf>
    <xf numFmtId="0" fontId="105" fillId="2" borderId="0" xfId="0" applyFont="1" applyFill="1"/>
    <xf numFmtId="164" fontId="101" fillId="2" borderId="0" xfId="0" applyNumberFormat="1" applyFont="1" applyFill="1"/>
    <xf numFmtId="164" fontId="57" fillId="0" borderId="0" xfId="0" applyNumberFormat="1" applyFont="1"/>
    <xf numFmtId="0" fontId="19" fillId="18" borderId="0" xfId="0" applyFont="1" applyFill="1" applyAlignment="1">
      <alignment horizontal="center" vertical="center"/>
    </xf>
    <xf numFmtId="0" fontId="39" fillId="25" borderId="21" xfId="0" applyFont="1" applyFill="1" applyBorder="1" applyAlignment="1">
      <alignment horizontal="center" vertical="center"/>
    </xf>
    <xf numFmtId="0" fontId="39" fillId="32" borderId="21" xfId="0" applyFont="1" applyFill="1" applyBorder="1" applyAlignment="1">
      <alignment horizontal="center" vertical="center"/>
    </xf>
    <xf numFmtId="3" fontId="37" fillId="0" borderId="21" xfId="0" applyNumberFormat="1" applyFont="1" applyFill="1" applyBorder="1" applyAlignment="1">
      <alignment vertical="center"/>
    </xf>
    <xf numFmtId="0" fontId="37" fillId="0" borderId="59" xfId="0" applyFont="1" applyFill="1" applyBorder="1" applyAlignment="1">
      <alignment horizontal="center" vertical="center" wrapText="1"/>
    </xf>
    <xf numFmtId="0" fontId="37" fillId="0" borderId="22" xfId="0" applyFont="1" applyFill="1" applyBorder="1" applyAlignment="1">
      <alignment horizontal="justify" vertical="center" wrapText="1"/>
    </xf>
    <xf numFmtId="3" fontId="39" fillId="4" borderId="21" xfId="0" applyNumberFormat="1" applyFont="1" applyFill="1" applyBorder="1" applyAlignment="1">
      <alignment vertical="center"/>
    </xf>
    <xf numFmtId="0" fontId="37" fillId="0" borderId="22" xfId="0" applyFont="1" applyFill="1" applyBorder="1" applyAlignment="1">
      <alignment horizontal="center" vertical="center"/>
    </xf>
    <xf numFmtId="0" fontId="37" fillId="0" borderId="58" xfId="0" applyFont="1" applyFill="1" applyBorder="1" applyAlignment="1">
      <alignment horizontal="center" vertical="center"/>
    </xf>
    <xf numFmtId="0" fontId="37" fillId="0" borderId="0" xfId="0" applyFont="1" applyFill="1" applyAlignment="1">
      <alignment vertical="center"/>
    </xf>
    <xf numFmtId="0" fontId="37" fillId="0" borderId="21" xfId="0" applyFont="1" applyFill="1" applyBorder="1" applyAlignment="1">
      <alignment horizontal="center" vertical="center"/>
    </xf>
    <xf numFmtId="0" fontId="37" fillId="0" borderId="21" xfId="0" applyFont="1" applyFill="1" applyBorder="1" applyAlignment="1">
      <alignment horizontal="justify" vertical="center" wrapText="1"/>
    </xf>
    <xf numFmtId="0" fontId="37" fillId="0" borderId="22" xfId="0" applyFont="1" applyFill="1" applyBorder="1" applyAlignment="1">
      <alignment vertical="center" wrapText="1"/>
    </xf>
    <xf numFmtId="0" fontId="39" fillId="14" borderId="67" xfId="0" applyFont="1" applyFill="1" applyBorder="1" applyAlignment="1">
      <alignment horizontal="center" vertical="center"/>
    </xf>
    <xf numFmtId="0" fontId="39" fillId="14" borderId="23" xfId="0" applyFont="1" applyFill="1" applyBorder="1" applyAlignment="1">
      <alignment horizontal="center" vertical="center"/>
    </xf>
    <xf numFmtId="3" fontId="39" fillId="14" borderId="24" xfId="0" applyNumberFormat="1" applyFont="1" applyFill="1" applyBorder="1" applyAlignment="1">
      <alignment vertical="center"/>
    </xf>
    <xf numFmtId="0" fontId="19" fillId="18" borderId="0" xfId="0" applyFont="1" applyFill="1" applyAlignment="1">
      <alignment horizontal="center" vertical="center"/>
    </xf>
    <xf numFmtId="0" fontId="32" fillId="0" borderId="1" xfId="0" applyFont="1" applyBorder="1" applyAlignment="1">
      <alignment horizontal="center" vertical="center"/>
    </xf>
    <xf numFmtId="0" fontId="39" fillId="32" borderId="21" xfId="0" applyFont="1" applyFill="1" applyBorder="1" applyAlignment="1">
      <alignment horizontal="center" vertical="center"/>
    </xf>
    <xf numFmtId="10" fontId="34" fillId="0" borderId="0" xfId="0" applyNumberFormat="1" applyFont="1" applyAlignment="1">
      <alignment vertical="center"/>
    </xf>
    <xf numFmtId="0" fontId="34" fillId="0" borderId="22" xfId="0" applyFont="1" applyFill="1" applyBorder="1" applyAlignment="1">
      <alignment horizontal="justify" vertical="center" wrapText="1"/>
    </xf>
    <xf numFmtId="3" fontId="34" fillId="0" borderId="21" xfId="0" applyNumberFormat="1" applyFont="1" applyFill="1" applyBorder="1" applyAlignment="1">
      <alignment vertical="center"/>
    </xf>
    <xf numFmtId="0" fontId="37" fillId="0" borderId="61" xfId="0" applyFont="1" applyFill="1" applyBorder="1" applyAlignment="1">
      <alignment horizontal="justify" vertical="center" wrapText="1"/>
    </xf>
    <xf numFmtId="0" fontId="24" fillId="0" borderId="1" xfId="0" applyFont="1" applyBorder="1" applyAlignment="1">
      <alignment horizontal="justify" vertical="top" wrapText="1"/>
    </xf>
    <xf numFmtId="9" fontId="75" fillId="0" borderId="20" xfId="1" applyFont="1" applyBorder="1" applyAlignment="1">
      <alignment horizontal="center" vertical="center"/>
    </xf>
    <xf numFmtId="3" fontId="79" fillId="14" borderId="26" xfId="0" applyNumberFormat="1" applyFont="1" applyFill="1" applyBorder="1" applyAlignment="1">
      <alignment horizontal="center" vertical="center"/>
    </xf>
    <xf numFmtId="3" fontId="83" fillId="2" borderId="32" xfId="0" applyNumberFormat="1" applyFont="1" applyFill="1" applyBorder="1" applyAlignment="1">
      <alignment horizontal="center" vertical="center"/>
    </xf>
    <xf numFmtId="2" fontId="24" fillId="0" borderId="0" xfId="0" applyNumberFormat="1" applyFont="1"/>
    <xf numFmtId="2" fontId="24" fillId="0" borderId="0" xfId="0" applyNumberFormat="1" applyFont="1" applyAlignment="1">
      <alignment horizontal="center"/>
    </xf>
    <xf numFmtId="2" fontId="24" fillId="0" borderId="0" xfId="0" applyNumberFormat="1" applyFont="1" applyAlignment="1">
      <alignment vertical="center"/>
    </xf>
    <xf numFmtId="0" fontId="96" fillId="0" borderId="1" xfId="0" applyFont="1" applyBorder="1" applyAlignment="1">
      <alignment vertical="center"/>
    </xf>
    <xf numFmtId="0" fontId="33" fillId="0" borderId="1" xfId="0" applyFont="1" applyBorder="1"/>
    <xf numFmtId="2" fontId="24" fillId="0" borderId="1" xfId="0" applyNumberFormat="1" applyFont="1" applyBorder="1" applyAlignment="1">
      <alignment horizontal="center"/>
    </xf>
    <xf numFmtId="0" fontId="24" fillId="0" borderId="1" xfId="0" applyFont="1" applyBorder="1" applyAlignment="1">
      <alignment vertical="center"/>
    </xf>
    <xf numFmtId="2" fontId="24" fillId="0" borderId="1" xfId="0" applyNumberFormat="1" applyFont="1" applyBorder="1"/>
    <xf numFmtId="0" fontId="93" fillId="0" borderId="1" xfId="0" applyFont="1" applyBorder="1" applyAlignment="1">
      <alignment horizontal="center" vertical="top" wrapText="1"/>
    </xf>
    <xf numFmtId="0" fontId="24" fillId="0" borderId="1" xfId="0" applyFont="1" applyBorder="1" applyAlignment="1">
      <alignment horizontal="center" vertical="top" wrapText="1"/>
    </xf>
    <xf numFmtId="2" fontId="24" fillId="0" borderId="1" xfId="0" applyNumberFormat="1" applyFont="1" applyBorder="1" applyAlignment="1">
      <alignment horizontal="justify" vertical="top" wrapText="1"/>
    </xf>
    <xf numFmtId="2" fontId="24" fillId="0" borderId="1" xfId="0" applyNumberFormat="1" applyFont="1" applyBorder="1" applyAlignment="1">
      <alignment vertical="center"/>
    </xf>
    <xf numFmtId="0" fontId="93" fillId="31" borderId="1" xfId="0" applyFont="1" applyFill="1" applyBorder="1" applyAlignment="1">
      <alignment horizontal="justify" vertical="top" wrapText="1"/>
    </xf>
    <xf numFmtId="0" fontId="93" fillId="4" borderId="1" xfId="0" applyFont="1" applyFill="1" applyBorder="1" applyAlignment="1">
      <alignment horizontal="justify" vertical="top" wrapText="1"/>
    </xf>
    <xf numFmtId="0" fontId="93" fillId="37" borderId="1" xfId="0" applyFont="1" applyFill="1" applyBorder="1" applyAlignment="1">
      <alignment horizontal="justify" vertical="top" wrapText="1"/>
    </xf>
    <xf numFmtId="0" fontId="95" fillId="35" borderId="1" xfId="0" applyFont="1" applyFill="1" applyBorder="1" applyAlignment="1">
      <alignment horizontal="justify" vertical="top" wrapText="1"/>
    </xf>
    <xf numFmtId="0" fontId="95" fillId="0" borderId="1" xfId="0" applyFont="1" applyBorder="1" applyAlignment="1">
      <alignment horizontal="center" vertical="top" wrapText="1"/>
    </xf>
    <xf numFmtId="0" fontId="95" fillId="0" borderId="1" xfId="0" applyFont="1" applyBorder="1" applyAlignment="1">
      <alignment horizontal="justify" vertical="top" wrapText="1"/>
    </xf>
    <xf numFmtId="0" fontId="24" fillId="35" borderId="1" xfId="0" applyFont="1" applyFill="1" applyBorder="1" applyAlignment="1">
      <alignment horizontal="justify" vertical="top" wrapText="1"/>
    </xf>
    <xf numFmtId="0" fontId="24" fillId="0" borderId="1" xfId="0" applyFont="1" applyBorder="1" applyAlignment="1">
      <alignment horizontal="left" vertical="top" wrapText="1" indent="3"/>
    </xf>
    <xf numFmtId="0" fontId="24" fillId="31" borderId="1" xfId="0" applyFont="1" applyFill="1" applyBorder="1" applyAlignment="1">
      <alignment horizontal="justify" vertical="top" wrapText="1"/>
    </xf>
    <xf numFmtId="0" fontId="24" fillId="4" borderId="1" xfId="0" applyFont="1" applyFill="1" applyBorder="1" applyAlignment="1">
      <alignment horizontal="justify" vertical="top" wrapText="1"/>
    </xf>
    <xf numFmtId="0" fontId="24" fillId="36" borderId="1" xfId="0" applyFont="1" applyFill="1" applyBorder="1" applyAlignment="1">
      <alignment horizontal="justify" vertical="top" wrapText="1"/>
    </xf>
    <xf numFmtId="0" fontId="24" fillId="37" borderId="1" xfId="0" applyFont="1" applyFill="1" applyBorder="1" applyAlignment="1">
      <alignment horizontal="justify" vertical="top" wrapText="1"/>
    </xf>
    <xf numFmtId="0" fontId="0" fillId="0" borderId="0" xfId="0" applyAlignment="1">
      <alignment horizontal="left"/>
    </xf>
    <xf numFmtId="0" fontId="45" fillId="0" borderId="0" xfId="0" applyFont="1" applyAlignment="1">
      <alignment horizontal="center" vertical="center" wrapText="1"/>
    </xf>
    <xf numFmtId="0" fontId="45" fillId="0" borderId="0" xfId="0" applyFont="1" applyAlignment="1">
      <alignment vertical="center" wrapText="1"/>
    </xf>
    <xf numFmtId="0" fontId="0" fillId="0" borderId="1" xfId="0" applyBorder="1" applyAlignment="1">
      <alignment horizontal="left"/>
    </xf>
    <xf numFmtId="0" fontId="93" fillId="0" borderId="1" xfId="0" applyFont="1" applyBorder="1" applyAlignment="1">
      <alignment horizontal="justify" vertical="top" wrapText="1"/>
    </xf>
    <xf numFmtId="0" fontId="9" fillId="0" borderId="1" xfId="0" applyFont="1" applyBorder="1"/>
    <xf numFmtId="0" fontId="9" fillId="0" borderId="1" xfId="0" applyFont="1" applyBorder="1" applyAlignment="1">
      <alignment horizontal="justify" vertical="top" wrapText="1"/>
    </xf>
    <xf numFmtId="0" fontId="15" fillId="0" borderId="1" xfId="0" applyFont="1" applyBorder="1" applyAlignment="1">
      <alignment horizontal="justify" vertical="top" wrapText="1"/>
    </xf>
    <xf numFmtId="0" fontId="19" fillId="40" borderId="22" xfId="0" applyFont="1" applyFill="1" applyBorder="1" applyAlignment="1">
      <alignment horizontal="center" vertical="center"/>
    </xf>
    <xf numFmtId="0" fontId="19" fillId="40" borderId="22" xfId="0" applyFont="1" applyFill="1" applyBorder="1" applyAlignment="1">
      <alignment horizontal="justify" vertical="center" wrapText="1"/>
    </xf>
    <xf numFmtId="3" fontId="19" fillId="40" borderId="21" xfId="0" applyNumberFormat="1" applyFont="1" applyFill="1" applyBorder="1" applyAlignment="1">
      <alignment vertical="center"/>
    </xf>
    <xf numFmtId="0" fontId="19" fillId="18" borderId="0" xfId="0" applyFont="1" applyFill="1" applyAlignment="1">
      <alignment horizontal="center" vertical="center"/>
    </xf>
    <xf numFmtId="0" fontId="32" fillId="0" borderId="1" xfId="0" applyFont="1" applyBorder="1" applyAlignment="1">
      <alignment horizontal="center" vertical="center"/>
    </xf>
    <xf numFmtId="0" fontId="39" fillId="32" borderId="21" xfId="0" applyFont="1" applyFill="1" applyBorder="1" applyAlignment="1">
      <alignment horizontal="center" vertical="center"/>
    </xf>
    <xf numFmtId="0" fontId="37" fillId="0" borderId="59" xfId="0" applyFont="1" applyFill="1" applyBorder="1" applyAlignment="1">
      <alignment horizontal="justify" vertical="center" wrapText="1"/>
    </xf>
    <xf numFmtId="0" fontId="37" fillId="0" borderId="21" xfId="0" applyFont="1" applyFill="1" applyBorder="1" applyAlignment="1">
      <alignment horizontal="center" vertical="center" wrapText="1"/>
    </xf>
    <xf numFmtId="0" fontId="5" fillId="0" borderId="1" xfId="0" applyFont="1" applyBorder="1" applyAlignment="1">
      <alignment vertical="center" wrapText="1"/>
    </xf>
    <xf numFmtId="0" fontId="34" fillId="3" borderId="76" xfId="0" applyFont="1" applyFill="1" applyBorder="1" applyAlignment="1">
      <alignment horizontal="center" vertical="center"/>
    </xf>
    <xf numFmtId="0" fontId="34" fillId="0" borderId="63" xfId="0" applyFont="1" applyFill="1" applyBorder="1" applyAlignment="1">
      <alignment horizontal="justify" vertical="center" wrapText="1"/>
    </xf>
    <xf numFmtId="0" fontId="34" fillId="0" borderId="21" xfId="0" applyFont="1" applyFill="1" applyBorder="1" applyAlignment="1">
      <alignment horizontal="justify" vertical="center" wrapText="1"/>
    </xf>
    <xf numFmtId="0" fontId="5" fillId="0" borderId="1" xfId="0" applyFont="1" applyBorder="1" applyAlignment="1">
      <alignment horizontal="center" vertical="center" wrapText="1"/>
    </xf>
    <xf numFmtId="0" fontId="0" fillId="0" borderId="1" xfId="0" applyBorder="1" applyAlignment="1">
      <alignment horizontal="center"/>
    </xf>
    <xf numFmtId="0" fontId="4" fillId="0" borderId="1" xfId="0" applyFont="1" applyBorder="1" applyAlignment="1">
      <alignment horizontal="center"/>
    </xf>
    <xf numFmtId="0" fontId="39" fillId="31" borderId="22" xfId="0" applyFont="1" applyFill="1" applyBorder="1" applyAlignment="1">
      <alignment horizontal="left" vertical="center" wrapText="1"/>
    </xf>
    <xf numFmtId="0" fontId="39" fillId="31" borderId="59" xfId="0" applyFont="1" applyFill="1" applyBorder="1" applyAlignment="1">
      <alignment horizontal="left" vertical="center" wrapText="1"/>
    </xf>
    <xf numFmtId="0" fontId="32" fillId="0" borderId="1" xfId="0" applyFont="1" applyBorder="1" applyAlignment="1">
      <alignment horizontal="center" vertical="center"/>
    </xf>
    <xf numFmtId="0" fontId="39" fillId="23" borderId="22" xfId="0" applyFont="1" applyFill="1" applyBorder="1" applyAlignment="1">
      <alignment horizontal="left" vertical="center"/>
    </xf>
    <xf numFmtId="0" fontId="39" fillId="23" borderId="59" xfId="0" applyFont="1" applyFill="1" applyBorder="1" applyAlignment="1">
      <alignment horizontal="left" vertical="center"/>
    </xf>
    <xf numFmtId="0" fontId="87" fillId="20" borderId="22" xfId="0" applyFont="1" applyFill="1" applyBorder="1" applyAlignment="1">
      <alignment horizontal="left" vertical="center"/>
    </xf>
    <xf numFmtId="0" fontId="87" fillId="20" borderId="59" xfId="0" applyFont="1" applyFill="1" applyBorder="1" applyAlignment="1">
      <alignment horizontal="left" vertical="center"/>
    </xf>
    <xf numFmtId="0" fontId="39" fillId="27" borderId="22" xfId="0" applyFont="1" applyFill="1" applyBorder="1" applyAlignment="1">
      <alignment horizontal="left" vertical="center"/>
    </xf>
    <xf numFmtId="0" fontId="39" fillId="27" borderId="59" xfId="0" applyFont="1" applyFill="1" applyBorder="1" applyAlignment="1">
      <alignment horizontal="left" vertical="center"/>
    </xf>
    <xf numFmtId="0" fontId="87" fillId="21" borderId="22" xfId="0" applyFont="1" applyFill="1" applyBorder="1" applyAlignment="1">
      <alignment horizontal="left" vertical="center" wrapText="1"/>
    </xf>
    <xf numFmtId="0" fontId="87" fillId="21" borderId="59" xfId="0" applyFont="1" applyFill="1" applyBorder="1" applyAlignment="1">
      <alignment horizontal="left" vertical="center" wrapText="1"/>
    </xf>
    <xf numFmtId="0" fontId="19" fillId="11" borderId="22" xfId="0" applyFont="1" applyFill="1" applyBorder="1" applyAlignment="1">
      <alignment horizontal="left" vertical="center" wrapText="1"/>
    </xf>
    <xf numFmtId="0" fontId="19" fillId="11" borderId="60" xfId="0" applyFont="1" applyFill="1" applyBorder="1" applyAlignment="1">
      <alignment horizontal="left" vertical="center" wrapText="1"/>
    </xf>
    <xf numFmtId="0" fontId="19" fillId="11" borderId="63" xfId="0" applyFont="1" applyFill="1" applyBorder="1" applyAlignment="1">
      <alignment horizontal="justify" vertical="center" wrapText="1"/>
    </xf>
    <xf numFmtId="0" fontId="19" fillId="11" borderId="64" xfId="0" applyFont="1" applyFill="1" applyBorder="1" applyAlignment="1">
      <alignment horizontal="justify" vertical="center" wrapText="1"/>
    </xf>
    <xf numFmtId="0" fontId="87" fillId="19" borderId="22" xfId="0" applyFont="1" applyFill="1" applyBorder="1" applyAlignment="1">
      <alignment horizontal="left" vertical="center" wrapText="1"/>
    </xf>
    <xf numFmtId="0" fontId="87" fillId="19" borderId="59" xfId="0" applyFont="1" applyFill="1" applyBorder="1" applyAlignment="1">
      <alignment horizontal="left" vertical="center" wrapText="1"/>
    </xf>
    <xf numFmtId="0" fontId="36" fillId="24" borderId="22" xfId="0" applyFont="1" applyFill="1" applyBorder="1" applyAlignment="1">
      <alignment horizontal="left" vertical="center"/>
    </xf>
    <xf numFmtId="0" fontId="36" fillId="24" borderId="59" xfId="0" applyFont="1" applyFill="1" applyBorder="1" applyAlignment="1">
      <alignment horizontal="left" vertical="center"/>
    </xf>
    <xf numFmtId="0" fontId="19" fillId="18" borderId="0" xfId="0" applyFont="1" applyFill="1" applyAlignment="1">
      <alignment horizontal="center" vertical="center"/>
    </xf>
    <xf numFmtId="0" fontId="39" fillId="0" borderId="1" xfId="0" applyFont="1" applyBorder="1" applyAlignment="1">
      <alignment horizontal="left" vertical="center"/>
    </xf>
    <xf numFmtId="0" fontId="19" fillId="2" borderId="22" xfId="0" applyFont="1" applyFill="1" applyBorder="1" applyAlignment="1">
      <alignment horizontal="left" vertical="center" wrapText="1"/>
    </xf>
    <xf numFmtId="0" fontId="19" fillId="2" borderId="59" xfId="0" applyFont="1" applyFill="1" applyBorder="1" applyAlignment="1">
      <alignment horizontal="left" vertical="center" wrapText="1"/>
    </xf>
    <xf numFmtId="0" fontId="39" fillId="5" borderId="59" xfId="0" applyFont="1" applyFill="1" applyBorder="1" applyAlignment="1">
      <alignment horizontal="left" vertical="center" wrapText="1"/>
    </xf>
    <xf numFmtId="0" fontId="39" fillId="5" borderId="60" xfId="0" applyFont="1" applyFill="1" applyBorder="1" applyAlignment="1">
      <alignment horizontal="left" vertical="center" wrapText="1"/>
    </xf>
    <xf numFmtId="0" fontId="39" fillId="14" borderId="22" xfId="0" applyFont="1" applyFill="1" applyBorder="1" applyAlignment="1">
      <alignment horizontal="justify" vertical="center" wrapText="1"/>
    </xf>
    <xf numFmtId="0" fontId="39" fillId="14" borderId="60" xfId="0" applyFont="1" applyFill="1" applyBorder="1" applyAlignment="1">
      <alignment horizontal="justify" vertical="center" wrapText="1"/>
    </xf>
    <xf numFmtId="0" fontId="36" fillId="14" borderId="22" xfId="0" applyFont="1" applyFill="1" applyBorder="1" applyAlignment="1">
      <alignment horizontal="justify" vertical="center" wrapText="1"/>
    </xf>
    <xf numFmtId="0" fontId="36" fillId="14" borderId="60" xfId="0" applyFont="1" applyFill="1" applyBorder="1" applyAlignment="1">
      <alignment horizontal="justify" vertical="center" wrapText="1"/>
    </xf>
    <xf numFmtId="0" fontId="36" fillId="14" borderId="23" xfId="0" applyFont="1" applyFill="1" applyBorder="1" applyAlignment="1">
      <alignment horizontal="justify" vertical="center" wrapText="1"/>
    </xf>
    <xf numFmtId="0" fontId="36" fillId="14" borderId="62" xfId="0" applyFont="1" applyFill="1" applyBorder="1" applyAlignment="1">
      <alignment horizontal="justify" vertical="center" wrapText="1"/>
    </xf>
    <xf numFmtId="0" fontId="87" fillId="2" borderId="22" xfId="0" applyFont="1" applyFill="1" applyBorder="1" applyAlignment="1">
      <alignment horizontal="left" vertical="center" wrapText="1"/>
    </xf>
    <xf numFmtId="0" fontId="87" fillId="2" borderId="59" xfId="0" applyFont="1" applyFill="1" applyBorder="1" applyAlignment="1">
      <alignment horizontal="left" vertical="center" wrapText="1"/>
    </xf>
    <xf numFmtId="0" fontId="19" fillId="11" borderId="63" xfId="0" applyFont="1" applyFill="1" applyBorder="1" applyAlignment="1">
      <alignment horizontal="left" vertical="center" wrapText="1"/>
    </xf>
    <xf numFmtId="0" fontId="19" fillId="11" borderId="64" xfId="0" applyFont="1" applyFill="1" applyBorder="1" applyAlignment="1">
      <alignment horizontal="left" vertical="center" wrapText="1"/>
    </xf>
    <xf numFmtId="0" fontId="36" fillId="23" borderId="22" xfId="0" applyFont="1" applyFill="1" applyBorder="1" applyAlignment="1">
      <alignment horizontal="left" vertical="center"/>
    </xf>
    <xf numFmtId="0" fontId="36" fillId="23" borderId="59" xfId="0" applyFont="1" applyFill="1" applyBorder="1" applyAlignment="1">
      <alignment horizontal="left" vertical="center"/>
    </xf>
    <xf numFmtId="0" fontId="39" fillId="25" borderId="22" xfId="0" applyFont="1" applyFill="1" applyBorder="1" applyAlignment="1">
      <alignment horizontal="left" vertical="center" wrapText="1"/>
    </xf>
    <xf numFmtId="0" fontId="39" fillId="25" borderId="59" xfId="0" applyFont="1" applyFill="1" applyBorder="1" applyAlignment="1">
      <alignment horizontal="left" vertical="center" wrapText="1"/>
    </xf>
    <xf numFmtId="0" fontId="39" fillId="25" borderId="63" xfId="0" applyFont="1" applyFill="1" applyBorder="1" applyAlignment="1">
      <alignment horizontal="justify" vertical="center" wrapText="1"/>
    </xf>
    <xf numFmtId="0" fontId="39" fillId="25" borderId="66" xfId="0" applyFont="1" applyFill="1" applyBorder="1" applyAlignment="1">
      <alignment horizontal="justify" vertical="center" wrapText="1"/>
    </xf>
    <xf numFmtId="0" fontId="39" fillId="25" borderId="22" xfId="0" applyFont="1" applyFill="1" applyBorder="1" applyAlignment="1">
      <alignment horizontal="justify" vertical="center" wrapText="1"/>
    </xf>
    <xf numFmtId="0" fontId="39" fillId="25" borderId="59" xfId="0" applyFont="1" applyFill="1" applyBorder="1" applyAlignment="1">
      <alignment horizontal="justify" vertical="center" wrapText="1"/>
    </xf>
    <xf numFmtId="0" fontId="39" fillId="32" borderId="44" xfId="0" applyFont="1" applyFill="1" applyBorder="1" applyAlignment="1">
      <alignment horizontal="left" vertical="center" wrapText="1"/>
    </xf>
    <xf numFmtId="0" fontId="39" fillId="32" borderId="69" xfId="0" applyFont="1" applyFill="1" applyBorder="1" applyAlignment="1">
      <alignment horizontal="left" vertical="center" wrapText="1"/>
    </xf>
    <xf numFmtId="0" fontId="39" fillId="31" borderId="23" xfId="0" applyFont="1" applyFill="1" applyBorder="1" applyAlignment="1">
      <alignment horizontal="left" vertical="center" wrapText="1"/>
    </xf>
    <xf numFmtId="0" fontId="39" fillId="31" borderId="68" xfId="0" applyFont="1" applyFill="1" applyBorder="1" applyAlignment="1">
      <alignment horizontal="left" vertical="center" wrapText="1"/>
    </xf>
    <xf numFmtId="0" fontId="39" fillId="32" borderId="36" xfId="0" applyFont="1" applyFill="1" applyBorder="1" applyAlignment="1">
      <alignment horizontal="left" vertical="center" wrapText="1"/>
    </xf>
    <xf numFmtId="0" fontId="39" fillId="32" borderId="38" xfId="0" applyFont="1" applyFill="1" applyBorder="1" applyAlignment="1">
      <alignment horizontal="left" vertical="center" wrapText="1"/>
    </xf>
    <xf numFmtId="0" fontId="39" fillId="26" borderId="22" xfId="0" applyFont="1" applyFill="1" applyBorder="1" applyAlignment="1">
      <alignment horizontal="left" vertical="center"/>
    </xf>
    <xf numFmtId="0" fontId="39" fillId="26" borderId="59" xfId="0" applyFont="1" applyFill="1" applyBorder="1" applyAlignment="1">
      <alignment horizontal="left" vertical="center"/>
    </xf>
    <xf numFmtId="0" fontId="39" fillId="28" borderId="22" xfId="0" applyFont="1" applyFill="1" applyBorder="1" applyAlignment="1">
      <alignment horizontal="justify" vertical="center" wrapText="1"/>
    </xf>
    <xf numFmtId="0" fontId="39" fillId="28" borderId="59" xfId="0" applyFont="1" applyFill="1" applyBorder="1" applyAlignment="1">
      <alignment horizontal="justify" vertical="center" wrapText="1"/>
    </xf>
    <xf numFmtId="2" fontId="24" fillId="0" borderId="1" xfId="0" applyNumberFormat="1" applyFont="1" applyBorder="1" applyAlignment="1">
      <alignment horizontal="justify" vertical="top" wrapText="1"/>
    </xf>
    <xf numFmtId="0" fontId="24" fillId="0" borderId="1" xfId="0" applyFont="1" applyBorder="1" applyAlignment="1">
      <alignment horizontal="justify" vertical="top" wrapText="1"/>
    </xf>
    <xf numFmtId="2" fontId="93" fillId="0" borderId="1" xfId="0" applyNumberFormat="1" applyFont="1" applyBorder="1" applyAlignment="1">
      <alignment horizontal="justify" vertical="top" wrapText="1"/>
    </xf>
    <xf numFmtId="0" fontId="96" fillId="0" borderId="1" xfId="0" applyFont="1" applyBorder="1" applyAlignment="1">
      <alignment horizontal="center" vertical="center"/>
    </xf>
    <xf numFmtId="0" fontId="45" fillId="0" borderId="0" xfId="0" applyFont="1" applyAlignment="1">
      <alignment horizontal="center" vertical="center" wrapText="1"/>
    </xf>
    <xf numFmtId="0" fontId="39" fillId="32" borderId="21" xfId="0" applyFont="1" applyFill="1" applyBorder="1" applyAlignment="1">
      <alignment horizontal="left" vertical="center" wrapText="1"/>
    </xf>
    <xf numFmtId="0" fontId="39" fillId="25" borderId="21" xfId="0" applyFont="1" applyFill="1" applyBorder="1" applyAlignment="1">
      <alignment horizontal="justify" vertical="center" wrapText="1"/>
    </xf>
    <xf numFmtId="0" fontId="87" fillId="20" borderId="63" xfId="0" applyFont="1" applyFill="1" applyBorder="1" applyAlignment="1">
      <alignment horizontal="left" vertical="center"/>
    </xf>
    <xf numFmtId="0" fontId="87" fillId="20" borderId="66" xfId="0" applyFont="1" applyFill="1" applyBorder="1" applyAlignment="1">
      <alignment horizontal="left" vertical="center"/>
    </xf>
    <xf numFmtId="0" fontId="39" fillId="23" borderId="23" xfId="0" applyFont="1" applyFill="1" applyBorder="1" applyAlignment="1">
      <alignment horizontal="left" vertical="center"/>
    </xf>
    <xf numFmtId="0" fontId="39" fillId="23" borderId="68" xfId="0" applyFont="1" applyFill="1" applyBorder="1" applyAlignment="1">
      <alignment horizontal="left" vertical="center"/>
    </xf>
    <xf numFmtId="0" fontId="36" fillId="14" borderId="63" xfId="0" applyFont="1" applyFill="1" applyBorder="1" applyAlignment="1">
      <alignment horizontal="justify" vertical="center" wrapText="1"/>
    </xf>
    <xf numFmtId="0" fontId="36" fillId="14" borderId="59" xfId="0" applyFont="1" applyFill="1" applyBorder="1" applyAlignment="1">
      <alignment horizontal="left" vertical="center" wrapText="1"/>
    </xf>
    <xf numFmtId="0" fontId="36" fillId="14" borderId="60" xfId="0" applyFont="1" applyFill="1" applyBorder="1" applyAlignment="1">
      <alignment horizontal="left" vertical="center" wrapText="1"/>
    </xf>
    <xf numFmtId="0" fontId="39" fillId="14" borderId="59" xfId="0" applyFont="1" applyFill="1" applyBorder="1" applyAlignment="1">
      <alignment horizontal="left" vertical="center" wrapText="1"/>
    </xf>
    <xf numFmtId="0" fontId="39" fillId="14" borderId="60" xfId="0" applyFont="1" applyFill="1" applyBorder="1" applyAlignment="1">
      <alignment horizontal="left" vertical="center" wrapText="1"/>
    </xf>
    <xf numFmtId="0" fontId="97" fillId="38" borderId="0" xfId="0" applyFont="1" applyFill="1" applyAlignment="1">
      <alignment horizontal="center" vertical="center"/>
    </xf>
    <xf numFmtId="0" fontId="7" fillId="0" borderId="0" xfId="0" applyFont="1" applyAlignment="1">
      <alignment horizontal="center" vertical="center"/>
    </xf>
    <xf numFmtId="0" fontId="34" fillId="3" borderId="39" xfId="0" applyFont="1" applyFill="1" applyBorder="1" applyAlignment="1">
      <alignment horizontal="center" vertical="center" wrapText="1"/>
    </xf>
    <xf numFmtId="0" fontId="34" fillId="3" borderId="40" xfId="0" applyFont="1" applyFill="1" applyBorder="1" applyAlignment="1">
      <alignment horizontal="center" vertical="center" wrapText="1"/>
    </xf>
    <xf numFmtId="0" fontId="34" fillId="3" borderId="41" xfId="0" applyFont="1" applyFill="1" applyBorder="1" applyAlignment="1">
      <alignment horizontal="center" vertical="center" wrapText="1"/>
    </xf>
    <xf numFmtId="0" fontId="34" fillId="3" borderId="40" xfId="0" applyFont="1" applyFill="1" applyBorder="1" applyAlignment="1">
      <alignment horizontal="justify" vertical="center" wrapText="1"/>
    </xf>
    <xf numFmtId="0" fontId="34" fillId="3" borderId="41" xfId="0" applyFont="1" applyFill="1" applyBorder="1" applyAlignment="1">
      <alignment horizontal="justify" vertical="center" wrapText="1"/>
    </xf>
    <xf numFmtId="0" fontId="19" fillId="2" borderId="43" xfId="0" applyFont="1" applyFill="1" applyBorder="1" applyAlignment="1">
      <alignment horizontal="left" vertical="center" wrapText="1"/>
    </xf>
    <xf numFmtId="0" fontId="19" fillId="2" borderId="45" xfId="0" applyFont="1" applyFill="1" applyBorder="1" applyAlignment="1">
      <alignment horizontal="left" vertical="center" wrapText="1"/>
    </xf>
    <xf numFmtId="0" fontId="19" fillId="2" borderId="48" xfId="0" applyFont="1" applyFill="1" applyBorder="1" applyAlignment="1">
      <alignment horizontal="left" vertical="center" wrapText="1"/>
    </xf>
    <xf numFmtId="0" fontId="19" fillId="2" borderId="46" xfId="0" applyFont="1" applyFill="1" applyBorder="1" applyAlignment="1">
      <alignment horizontal="left" vertical="center" wrapText="1"/>
    </xf>
    <xf numFmtId="0" fontId="57" fillId="0" borderId="21" xfId="0" applyFont="1" applyBorder="1" applyAlignment="1">
      <alignment horizontal="justify" vertical="center" wrapText="1"/>
    </xf>
    <xf numFmtId="0" fontId="34" fillId="14" borderId="40" xfId="0" applyFont="1" applyFill="1" applyBorder="1" applyAlignment="1">
      <alignment horizontal="justify" vertical="center" wrapText="1"/>
    </xf>
    <xf numFmtId="0" fontId="34" fillId="14" borderId="41" xfId="0" applyFont="1" applyFill="1" applyBorder="1" applyAlignment="1">
      <alignment horizontal="justify" vertical="center" wrapText="1"/>
    </xf>
    <xf numFmtId="0" fontId="36" fillId="0" borderId="21" xfId="0" applyFont="1" applyFill="1" applyBorder="1" applyAlignment="1">
      <alignment horizontal="justify" vertical="center" wrapText="1"/>
    </xf>
    <xf numFmtId="3" fontId="34" fillId="0" borderId="39" xfId="0" applyNumberFormat="1" applyFont="1" applyBorder="1" applyAlignment="1">
      <alignment horizontal="center" vertical="center"/>
    </xf>
    <xf numFmtId="3" fontId="34" fillId="0" borderId="41" xfId="0" applyNumberFormat="1" applyFont="1" applyBorder="1" applyAlignment="1">
      <alignment horizontal="center" vertical="center"/>
    </xf>
    <xf numFmtId="3" fontId="34" fillId="3" borderId="21" xfId="0" applyNumberFormat="1" applyFont="1" applyFill="1" applyBorder="1" applyAlignment="1">
      <alignment horizontal="center" vertical="center"/>
    </xf>
    <xf numFmtId="0" fontId="34" fillId="0" borderId="39" xfId="0" applyFont="1" applyBorder="1" applyAlignment="1">
      <alignment horizontal="center" vertical="center"/>
    </xf>
    <xf numFmtId="0" fontId="34" fillId="0" borderId="41" xfId="0" applyFont="1" applyBorder="1" applyAlignment="1">
      <alignment horizontal="center" vertical="center"/>
    </xf>
    <xf numFmtId="0" fontId="41" fillId="0" borderId="0" xfId="0" applyFont="1" applyAlignment="1">
      <alignment horizontal="left" vertical="center"/>
    </xf>
    <xf numFmtId="0" fontId="36" fillId="14" borderId="21" xfId="0" applyFont="1" applyFill="1" applyBorder="1" applyAlignment="1">
      <alignment horizontal="justify" vertical="center" wrapText="1"/>
    </xf>
    <xf numFmtId="0" fontId="39" fillId="14" borderId="21" xfId="0" applyFont="1" applyFill="1" applyBorder="1" applyAlignment="1">
      <alignment horizontal="center" vertical="center"/>
    </xf>
    <xf numFmtId="0" fontId="38" fillId="15" borderId="39" xfId="0" applyFont="1" applyFill="1" applyBorder="1" applyAlignment="1">
      <alignment horizontal="center" vertical="center" wrapText="1"/>
    </xf>
    <xf numFmtId="0" fontId="38" fillId="15" borderId="41" xfId="0" applyFont="1" applyFill="1" applyBorder="1" applyAlignment="1">
      <alignment horizontal="center" vertical="center" wrapText="1"/>
    </xf>
    <xf numFmtId="0" fontId="38" fillId="15" borderId="21" xfId="0" applyFont="1" applyFill="1" applyBorder="1" applyAlignment="1">
      <alignment horizontal="left" vertical="center" wrapText="1"/>
    </xf>
    <xf numFmtId="0" fontId="34" fillId="14" borderId="21" xfId="0" applyFont="1" applyFill="1" applyBorder="1" applyAlignment="1">
      <alignment horizontal="justify" vertical="center" wrapText="1"/>
    </xf>
    <xf numFmtId="0" fontId="38" fillId="14" borderId="39" xfId="0" applyFont="1" applyFill="1" applyBorder="1" applyAlignment="1">
      <alignment horizontal="left" vertical="center" wrapText="1"/>
    </xf>
    <xf numFmtId="0" fontId="38" fillId="14" borderId="40" xfId="0" applyFont="1" applyFill="1" applyBorder="1" applyAlignment="1">
      <alignment horizontal="left" vertical="center" wrapText="1"/>
    </xf>
    <xf numFmtId="0" fontId="38" fillId="14" borderId="41" xfId="0" applyFont="1" applyFill="1" applyBorder="1" applyAlignment="1">
      <alignment horizontal="left" vertical="center" wrapText="1"/>
    </xf>
    <xf numFmtId="0" fontId="19" fillId="2" borderId="39" xfId="0" applyFont="1" applyFill="1" applyBorder="1" applyAlignment="1">
      <alignment horizontal="left" vertical="center" wrapText="1"/>
    </xf>
    <xf numFmtId="0" fontId="19" fillId="2" borderId="40" xfId="0" applyFont="1" applyFill="1" applyBorder="1" applyAlignment="1">
      <alignment horizontal="left" vertical="center" wrapText="1"/>
    </xf>
    <xf numFmtId="0" fontId="19" fillId="2" borderId="41" xfId="0" applyFont="1" applyFill="1" applyBorder="1" applyAlignment="1">
      <alignment horizontal="left" vertical="center" wrapText="1"/>
    </xf>
    <xf numFmtId="0" fontId="19" fillId="2" borderId="36" xfId="0" applyFont="1" applyFill="1" applyBorder="1" applyAlignment="1">
      <alignment horizontal="left" vertical="center" wrapText="1"/>
    </xf>
    <xf numFmtId="0" fontId="19" fillId="2" borderId="37" xfId="0" applyFont="1" applyFill="1" applyBorder="1" applyAlignment="1">
      <alignment horizontal="left" vertical="center" wrapText="1"/>
    </xf>
    <xf numFmtId="0" fontId="19" fillId="2" borderId="38" xfId="0" applyFont="1" applyFill="1" applyBorder="1" applyAlignment="1">
      <alignment horizontal="left" vertical="center" wrapText="1"/>
    </xf>
    <xf numFmtId="0" fontId="19" fillId="2" borderId="36" xfId="0" applyFont="1" applyFill="1" applyBorder="1" applyAlignment="1">
      <alignment horizontal="justify" vertical="center" wrapText="1"/>
    </xf>
    <xf numFmtId="0" fontId="19" fillId="2" borderId="37" xfId="0" applyFont="1" applyFill="1" applyBorder="1" applyAlignment="1">
      <alignment horizontal="justify" vertical="center" wrapText="1"/>
    </xf>
    <xf numFmtId="0" fontId="19" fillId="2" borderId="38" xfId="0" applyFont="1" applyFill="1" applyBorder="1" applyAlignment="1">
      <alignment horizontal="justify" vertical="center" wrapText="1"/>
    </xf>
    <xf numFmtId="0" fontId="34" fillId="16" borderId="21" xfId="0" applyFont="1" applyFill="1" applyBorder="1" applyAlignment="1">
      <alignment horizontal="center" vertical="center"/>
    </xf>
    <xf numFmtId="3" fontId="34" fillId="16" borderId="21" xfId="0" applyNumberFormat="1" applyFont="1" applyFill="1" applyBorder="1" applyAlignment="1">
      <alignment horizontal="center" vertical="center"/>
    </xf>
    <xf numFmtId="0" fontId="34" fillId="3" borderId="51" xfId="0" applyFont="1" applyFill="1" applyBorder="1" applyAlignment="1">
      <alignment horizontal="justify" vertical="center" wrapText="1"/>
    </xf>
    <xf numFmtId="0" fontId="19" fillId="2" borderId="75" xfId="0" applyFont="1" applyFill="1" applyBorder="1" applyAlignment="1">
      <alignment horizontal="left" vertical="center" wrapText="1"/>
    </xf>
    <xf numFmtId="0" fontId="19" fillId="2" borderId="72" xfId="0" applyFont="1" applyFill="1" applyBorder="1" applyAlignment="1">
      <alignment horizontal="left" vertical="center" wrapText="1"/>
    </xf>
    <xf numFmtId="4" fontId="34" fillId="0" borderId="39" xfId="0" applyNumberFormat="1" applyFont="1" applyBorder="1" applyAlignment="1">
      <alignment horizontal="center" vertical="center"/>
    </xf>
    <xf numFmtId="4" fontId="34" fillId="0" borderId="41" xfId="0" applyNumberFormat="1" applyFont="1" applyBorder="1" applyAlignment="1">
      <alignment horizontal="center" vertical="center"/>
    </xf>
    <xf numFmtId="0" fontId="19" fillId="2" borderId="73" xfId="0" applyFont="1" applyFill="1" applyBorder="1" applyAlignment="1">
      <alignment horizontal="left" vertical="center" wrapText="1"/>
    </xf>
    <xf numFmtId="0" fontId="19" fillId="2" borderId="74" xfId="0" applyFont="1" applyFill="1" applyBorder="1" applyAlignment="1">
      <alignment horizontal="left" vertical="center" wrapText="1"/>
    </xf>
    <xf numFmtId="0" fontId="57" fillId="0" borderId="39" xfId="0" applyFont="1" applyBorder="1" applyAlignment="1">
      <alignment horizontal="justify" vertical="center" wrapText="1"/>
    </xf>
    <xf numFmtId="0" fontId="57" fillId="0" borderId="40" xfId="0" applyFont="1" applyBorder="1" applyAlignment="1">
      <alignment horizontal="justify" vertical="center" wrapText="1"/>
    </xf>
    <xf numFmtId="0" fontId="57" fillId="0" borderId="41" xfId="0" applyFont="1" applyBorder="1" applyAlignment="1">
      <alignment horizontal="justify" vertical="center" wrapText="1"/>
    </xf>
    <xf numFmtId="0" fontId="41" fillId="0" borderId="40" xfId="0" applyFont="1" applyBorder="1" applyAlignment="1">
      <alignment horizontal="center" vertical="center"/>
    </xf>
    <xf numFmtId="0" fontId="34" fillId="0" borderId="40" xfId="0" applyFont="1" applyBorder="1" applyAlignment="1">
      <alignment horizontal="center" vertical="center"/>
    </xf>
    <xf numFmtId="0" fontId="19" fillId="2" borderId="21" xfId="0" applyFont="1" applyFill="1" applyBorder="1" applyAlignment="1">
      <alignment horizontal="justify" vertical="center" wrapText="1"/>
    </xf>
    <xf numFmtId="0" fontId="19" fillId="2" borderId="70" xfId="0" applyFont="1" applyFill="1" applyBorder="1" applyAlignment="1">
      <alignment horizontal="left" vertical="center" wrapText="1"/>
    </xf>
    <xf numFmtId="0" fontId="19" fillId="2" borderId="71" xfId="0" applyFont="1" applyFill="1" applyBorder="1" applyAlignment="1">
      <alignment horizontal="left" vertical="center" wrapText="1"/>
    </xf>
    <xf numFmtId="0" fontId="36" fillId="25" borderId="21" xfId="0" applyFont="1" applyFill="1" applyBorder="1" applyAlignment="1">
      <alignment horizontal="justify" vertical="center" wrapText="1"/>
    </xf>
    <xf numFmtId="0" fontId="19" fillId="19" borderId="43" xfId="0" applyFont="1" applyFill="1" applyBorder="1" applyAlignment="1">
      <alignment horizontal="left" vertical="center" wrapText="1"/>
    </xf>
    <xf numFmtId="0" fontId="19" fillId="19" borderId="45" xfId="0" applyFont="1" applyFill="1" applyBorder="1" applyAlignment="1">
      <alignment horizontal="left" vertical="center" wrapText="1"/>
    </xf>
    <xf numFmtId="0" fontId="19" fillId="19" borderId="48" xfId="0" applyFont="1" applyFill="1" applyBorder="1" applyAlignment="1">
      <alignment horizontal="left" vertical="center" wrapText="1"/>
    </xf>
    <xf numFmtId="0" fontId="19" fillId="19" borderId="46" xfId="0" applyFont="1" applyFill="1" applyBorder="1" applyAlignment="1">
      <alignment horizontal="left" vertical="center" wrapText="1"/>
    </xf>
    <xf numFmtId="0" fontId="34" fillId="25" borderId="40" xfId="0" applyFont="1" applyFill="1" applyBorder="1" applyAlignment="1">
      <alignment horizontal="justify" vertical="center" wrapText="1"/>
    </xf>
    <xf numFmtId="0" fontId="34" fillId="25" borderId="41" xfId="0" applyFont="1" applyFill="1" applyBorder="1" applyAlignment="1">
      <alignment horizontal="justify" vertical="center" wrapText="1"/>
    </xf>
    <xf numFmtId="0" fontId="38" fillId="34" borderId="39" xfId="0" applyFont="1" applyFill="1" applyBorder="1" applyAlignment="1">
      <alignment horizontal="center" vertical="center" wrapText="1"/>
    </xf>
    <xf numFmtId="0" fontId="38" fillId="34" borderId="41" xfId="0" applyFont="1" applyFill="1" applyBorder="1" applyAlignment="1">
      <alignment horizontal="center" vertical="center" wrapText="1"/>
    </xf>
    <xf numFmtId="0" fontId="39" fillId="25" borderId="21" xfId="0" applyFont="1" applyFill="1" applyBorder="1" applyAlignment="1">
      <alignment horizontal="center" vertical="center"/>
    </xf>
    <xf numFmtId="0" fontId="38" fillId="34" borderId="21" xfId="0" applyFont="1" applyFill="1" applyBorder="1" applyAlignment="1">
      <alignment horizontal="left" vertical="center" wrapText="1"/>
    </xf>
    <xf numFmtId="0" fontId="34" fillId="25" borderId="21" xfId="0" applyFont="1" applyFill="1" applyBorder="1" applyAlignment="1">
      <alignment horizontal="justify" vertical="center" wrapText="1"/>
    </xf>
    <xf numFmtId="0" fontId="38" fillId="25" borderId="39" xfId="0" applyFont="1" applyFill="1" applyBorder="1" applyAlignment="1">
      <alignment horizontal="left" vertical="center" wrapText="1"/>
    </xf>
    <xf numFmtId="0" fontId="38" fillId="25" borderId="40" xfId="0" applyFont="1" applyFill="1" applyBorder="1" applyAlignment="1">
      <alignment horizontal="left" vertical="center" wrapText="1"/>
    </xf>
    <xf numFmtId="0" fontId="38" fillId="25" borderId="41" xfId="0" applyFont="1" applyFill="1" applyBorder="1" applyAlignment="1">
      <alignment horizontal="left" vertical="center" wrapText="1"/>
    </xf>
    <xf numFmtId="0" fontId="87" fillId="19" borderId="70" xfId="0" applyFont="1" applyFill="1" applyBorder="1" applyAlignment="1">
      <alignment horizontal="left" vertical="center" wrapText="1"/>
    </xf>
    <xf numFmtId="0" fontId="87" fillId="19" borderId="71" xfId="0" applyFont="1" applyFill="1" applyBorder="1" applyAlignment="1">
      <alignment horizontal="left" vertical="center" wrapText="1"/>
    </xf>
    <xf numFmtId="0" fontId="87" fillId="19" borderId="72" xfId="0" applyFont="1" applyFill="1" applyBorder="1" applyAlignment="1">
      <alignment horizontal="left" vertical="center" wrapText="1"/>
    </xf>
    <xf numFmtId="0" fontId="87" fillId="19" borderId="70" xfId="0" applyFont="1" applyFill="1" applyBorder="1" applyAlignment="1">
      <alignment horizontal="justify" vertical="center" wrapText="1"/>
    </xf>
    <xf numFmtId="0" fontId="87" fillId="19" borderId="71" xfId="0" applyFont="1" applyFill="1" applyBorder="1" applyAlignment="1">
      <alignment horizontal="justify" vertical="center" wrapText="1"/>
    </xf>
    <xf numFmtId="3" fontId="34" fillId="0" borderId="39" xfId="0" applyNumberFormat="1" applyFont="1" applyFill="1" applyBorder="1" applyAlignment="1">
      <alignment horizontal="center" vertical="center" wrapText="1"/>
    </xf>
    <xf numFmtId="3" fontId="34" fillId="0" borderId="41" xfId="0" applyNumberFormat="1" applyFont="1" applyFill="1" applyBorder="1" applyAlignment="1">
      <alignment horizontal="center" vertical="center" wrapText="1"/>
    </xf>
    <xf numFmtId="0" fontId="36" fillId="32" borderId="21" xfId="0" applyFont="1" applyFill="1" applyBorder="1" applyAlignment="1">
      <alignment horizontal="justify" vertical="center" wrapText="1"/>
    </xf>
    <xf numFmtId="0" fontId="19" fillId="21" borderId="43" xfId="0" applyFont="1" applyFill="1" applyBorder="1" applyAlignment="1">
      <alignment horizontal="left" vertical="center" wrapText="1"/>
    </xf>
    <xf numFmtId="0" fontId="19" fillId="21" borderId="45" xfId="0" applyFont="1" applyFill="1" applyBorder="1" applyAlignment="1">
      <alignment horizontal="left" vertical="center" wrapText="1"/>
    </xf>
    <xf numFmtId="0" fontId="19" fillId="21" borderId="48" xfId="0" applyFont="1" applyFill="1" applyBorder="1" applyAlignment="1">
      <alignment horizontal="left" vertical="center" wrapText="1"/>
    </xf>
    <xf numFmtId="0" fontId="19" fillId="21" borderId="46" xfId="0" applyFont="1" applyFill="1" applyBorder="1" applyAlignment="1">
      <alignment horizontal="left" vertical="center" wrapText="1"/>
    </xf>
    <xf numFmtId="0" fontId="34" fillId="32" borderId="40" xfId="0" applyFont="1" applyFill="1" applyBorder="1" applyAlignment="1">
      <alignment horizontal="justify" vertical="center" wrapText="1"/>
    </xf>
    <xf numFmtId="0" fontId="34" fillId="32" borderId="41" xfId="0" applyFont="1" applyFill="1" applyBorder="1" applyAlignment="1">
      <alignment horizontal="justify" vertical="center" wrapText="1"/>
    </xf>
    <xf numFmtId="0" fontId="38" fillId="33" borderId="39" xfId="0" applyFont="1" applyFill="1" applyBorder="1" applyAlignment="1">
      <alignment horizontal="center" vertical="center" wrapText="1"/>
    </xf>
    <xf numFmtId="0" fontId="38" fillId="33" borderId="41" xfId="0" applyFont="1" applyFill="1" applyBorder="1" applyAlignment="1">
      <alignment horizontal="center" vertical="center" wrapText="1"/>
    </xf>
    <xf numFmtId="0" fontId="39" fillId="32" borderId="21" xfId="0" applyFont="1" applyFill="1" applyBorder="1" applyAlignment="1">
      <alignment horizontal="center" vertical="center"/>
    </xf>
    <xf numFmtId="0" fontId="38" fillId="33" borderId="21" xfId="0" applyFont="1" applyFill="1" applyBorder="1" applyAlignment="1">
      <alignment horizontal="left" vertical="center" wrapText="1"/>
    </xf>
    <xf numFmtId="0" fontId="34" fillId="32" borderId="21" xfId="0" applyFont="1" applyFill="1" applyBorder="1" applyAlignment="1">
      <alignment horizontal="justify" vertical="center" wrapText="1"/>
    </xf>
    <xf numFmtId="0" fontId="38" fillId="32" borderId="39" xfId="0" applyFont="1" applyFill="1" applyBorder="1" applyAlignment="1">
      <alignment horizontal="left" vertical="center" wrapText="1"/>
    </xf>
    <xf numFmtId="0" fontId="38" fillId="32" borderId="40" xfId="0" applyFont="1" applyFill="1" applyBorder="1" applyAlignment="1">
      <alignment horizontal="left" vertical="center" wrapText="1"/>
    </xf>
    <xf numFmtId="0" fontId="38" fillId="32" borderId="41" xfId="0" applyFont="1" applyFill="1" applyBorder="1" applyAlignment="1">
      <alignment horizontal="left" vertical="center" wrapText="1"/>
    </xf>
    <xf numFmtId="0" fontId="87" fillId="21" borderId="70" xfId="0" applyFont="1" applyFill="1" applyBorder="1" applyAlignment="1">
      <alignment horizontal="left" vertical="center" wrapText="1"/>
    </xf>
    <xf numFmtId="0" fontId="87" fillId="21" borderId="71" xfId="0" applyFont="1" applyFill="1" applyBorder="1" applyAlignment="1">
      <alignment horizontal="left" vertical="center" wrapText="1"/>
    </xf>
    <xf numFmtId="0" fontId="87" fillId="21" borderId="72" xfId="0" applyFont="1" applyFill="1" applyBorder="1" applyAlignment="1">
      <alignment horizontal="left" vertical="center" wrapText="1"/>
    </xf>
    <xf numFmtId="0" fontId="87" fillId="21" borderId="70" xfId="0" applyFont="1" applyFill="1" applyBorder="1" applyAlignment="1">
      <alignment horizontal="justify" vertical="center" wrapText="1"/>
    </xf>
    <xf numFmtId="0" fontId="87" fillId="21" borderId="71" xfId="0" applyFont="1" applyFill="1" applyBorder="1" applyAlignment="1">
      <alignment horizontal="justify" vertical="center" wrapText="1"/>
    </xf>
    <xf numFmtId="0" fontId="19" fillId="21" borderId="21" xfId="0" applyFont="1" applyFill="1" applyBorder="1" applyAlignment="1">
      <alignment horizontal="left" vertical="center" wrapText="1"/>
    </xf>
    <xf numFmtId="0" fontId="19" fillId="21" borderId="39" xfId="0" applyFont="1" applyFill="1" applyBorder="1" applyAlignment="1">
      <alignment horizontal="left" vertical="center" wrapText="1"/>
    </xf>
    <xf numFmtId="0" fontId="19" fillId="21" borderId="41" xfId="0" applyFont="1" applyFill="1" applyBorder="1" applyAlignment="1">
      <alignment horizontal="left" vertical="center" wrapText="1"/>
    </xf>
    <xf numFmtId="0" fontId="19" fillId="21" borderId="21" xfId="0" applyFont="1" applyFill="1" applyBorder="1" applyAlignment="1">
      <alignment horizontal="justify" vertical="center" wrapText="1"/>
    </xf>
    <xf numFmtId="0" fontId="50" fillId="0" borderId="0" xfId="0" applyFont="1" applyAlignment="1">
      <alignment horizontal="justify" vertical="top" wrapText="1"/>
    </xf>
    <xf numFmtId="0" fontId="51" fillId="2" borderId="20" xfId="0" applyFont="1" applyFill="1" applyBorder="1" applyAlignment="1">
      <alignment horizontal="left" vertical="center" wrapText="1"/>
    </xf>
    <xf numFmtId="0" fontId="48" fillId="2" borderId="20" xfId="0" applyFont="1" applyFill="1" applyBorder="1" applyAlignment="1">
      <alignment horizontal="left" vertical="center"/>
    </xf>
    <xf numFmtId="4" fontId="51" fillId="2" borderId="20" xfId="0" applyNumberFormat="1" applyFont="1" applyFill="1" applyBorder="1" applyAlignment="1">
      <alignment horizontal="center" vertical="center"/>
    </xf>
    <xf numFmtId="0" fontId="46" fillId="2" borderId="20" xfId="0" applyFont="1" applyFill="1" applyBorder="1" applyAlignment="1">
      <alignment horizontal="center" vertical="center"/>
    </xf>
    <xf numFmtId="0" fontId="51" fillId="2" borderId="20" xfId="0" applyFont="1" applyFill="1" applyBorder="1" applyAlignment="1">
      <alignment horizontal="center" vertical="center" wrapText="1"/>
    </xf>
    <xf numFmtId="4" fontId="51" fillId="2" borderId="26" xfId="0" applyNumberFormat="1" applyFont="1" applyFill="1" applyBorder="1" applyAlignment="1">
      <alignment horizontal="center" vertical="center"/>
    </xf>
    <xf numFmtId="4" fontId="51" fillId="2" borderId="26" xfId="0" applyNumberFormat="1" applyFont="1" applyFill="1" applyBorder="1" applyAlignment="1">
      <alignment horizontal="center" vertical="center" wrapText="1"/>
    </xf>
    <xf numFmtId="4" fontId="51" fillId="2" borderId="32" xfId="0" applyNumberFormat="1" applyFont="1" applyFill="1" applyBorder="1" applyAlignment="1">
      <alignment horizontal="center" vertical="center"/>
    </xf>
    <xf numFmtId="0" fontId="45" fillId="0" borderId="1" xfId="0" applyFont="1" applyBorder="1" applyAlignment="1">
      <alignment horizontal="center" vertical="center" wrapText="1"/>
    </xf>
    <xf numFmtId="0" fontId="51" fillId="2" borderId="26" xfId="0" applyFont="1" applyFill="1" applyBorder="1" applyAlignment="1">
      <alignment horizontal="center" vertical="center" wrapText="1"/>
    </xf>
    <xf numFmtId="4" fontId="51" fillId="2" borderId="27" xfId="0" applyNumberFormat="1" applyFont="1" applyFill="1" applyBorder="1" applyAlignment="1">
      <alignment horizontal="center" vertical="center"/>
    </xf>
    <xf numFmtId="4" fontId="51" fillId="2" borderId="28" xfId="0" applyNumberFormat="1" applyFont="1" applyFill="1" applyBorder="1" applyAlignment="1">
      <alignment horizontal="center" vertical="center"/>
    </xf>
    <xf numFmtId="4" fontId="51" fillId="2" borderId="25" xfId="0" applyNumberFormat="1" applyFont="1" applyFill="1" applyBorder="1" applyAlignment="1">
      <alignment horizontal="center" vertical="center" wrapText="1"/>
    </xf>
    <xf numFmtId="4" fontId="51" fillId="2" borderId="25" xfId="0" applyNumberFormat="1" applyFont="1" applyFill="1" applyBorder="1" applyAlignment="1">
      <alignment horizontal="center" vertical="center"/>
    </xf>
    <xf numFmtId="0" fontId="89" fillId="0" borderId="1" xfId="0" applyFont="1" applyBorder="1" applyAlignment="1">
      <alignment horizontal="center" vertical="center" wrapText="1"/>
    </xf>
    <xf numFmtId="0" fontId="77" fillId="0" borderId="0" xfId="0" applyFont="1" applyAlignment="1">
      <alignment horizontal="center"/>
    </xf>
    <xf numFmtId="0" fontId="11" fillId="2" borderId="20" xfId="0" applyFont="1" applyFill="1" applyBorder="1" applyAlignment="1">
      <alignment horizontal="center" vertical="center"/>
    </xf>
    <xf numFmtId="0" fontId="78" fillId="2" borderId="26" xfId="0" applyFont="1" applyFill="1" applyBorder="1" applyAlignment="1">
      <alignment horizontal="center" vertical="center" wrapText="1"/>
    </xf>
    <xf numFmtId="0" fontId="75" fillId="0" borderId="0" xfId="0" applyFont="1" applyAlignment="1">
      <alignment horizontal="justify" vertical="top" wrapText="1"/>
    </xf>
    <xf numFmtId="0" fontId="78" fillId="2" borderId="20" xfId="0" applyFont="1" applyFill="1" applyBorder="1" applyAlignment="1">
      <alignment horizontal="left" vertical="center" wrapText="1"/>
    </xf>
    <xf numFmtId="0" fontId="83" fillId="2" borderId="20" xfId="0" applyFont="1" applyFill="1" applyBorder="1" applyAlignment="1">
      <alignment horizontal="left" vertical="center"/>
    </xf>
    <xf numFmtId="0" fontId="78" fillId="2" borderId="20" xfId="0" applyFont="1" applyFill="1" applyBorder="1" applyAlignment="1">
      <alignment horizontal="center" vertical="center" wrapText="1"/>
    </xf>
    <xf numFmtId="4" fontId="78" fillId="2" borderId="26" xfId="0" applyNumberFormat="1" applyFont="1" applyFill="1" applyBorder="1" applyAlignment="1">
      <alignment horizontal="center" vertical="center"/>
    </xf>
    <xf numFmtId="4" fontId="78" fillId="2" borderId="26" xfId="0" applyNumberFormat="1" applyFont="1" applyFill="1" applyBorder="1" applyAlignment="1">
      <alignment horizontal="center" vertical="center" wrapText="1"/>
    </xf>
    <xf numFmtId="4" fontId="78" fillId="2" borderId="32" xfId="0" applyNumberFormat="1" applyFont="1" applyFill="1" applyBorder="1" applyAlignment="1">
      <alignment horizontal="center" vertical="center"/>
    </xf>
    <xf numFmtId="4" fontId="78" fillId="2" borderId="53" xfId="0" applyNumberFormat="1" applyFont="1" applyFill="1" applyBorder="1" applyAlignment="1">
      <alignment horizontal="center" vertical="center"/>
    </xf>
    <xf numFmtId="4" fontId="78" fillId="2" borderId="54" xfId="0" applyNumberFormat="1" applyFont="1" applyFill="1" applyBorder="1" applyAlignment="1">
      <alignment horizontal="center" vertical="center"/>
    </xf>
    <xf numFmtId="4" fontId="78" fillId="2" borderId="27" xfId="0" applyNumberFormat="1" applyFont="1" applyFill="1" applyBorder="1" applyAlignment="1">
      <alignment horizontal="center" vertical="center"/>
    </xf>
    <xf numFmtId="4" fontId="78" fillId="2" borderId="28" xfId="0" applyNumberFormat="1" applyFont="1" applyFill="1" applyBorder="1" applyAlignment="1">
      <alignment horizontal="center" vertical="center"/>
    </xf>
    <xf numFmtId="4" fontId="78" fillId="2" borderId="25" xfId="0" applyNumberFormat="1" applyFont="1" applyFill="1" applyBorder="1" applyAlignment="1">
      <alignment horizontal="center" vertical="center" wrapText="1"/>
    </xf>
    <xf numFmtId="4" fontId="78" fillId="2" borderId="25" xfId="0" applyNumberFormat="1" applyFont="1" applyFill="1" applyBorder="1" applyAlignment="1">
      <alignment horizontal="center" vertical="center"/>
    </xf>
    <xf numFmtId="4" fontId="78" fillId="2" borderId="20" xfId="0" applyNumberFormat="1" applyFont="1" applyFill="1" applyBorder="1" applyAlignment="1">
      <alignment horizontal="center" vertical="center"/>
    </xf>
    <xf numFmtId="0" fontId="11" fillId="2" borderId="29" xfId="0" applyFont="1" applyFill="1" applyBorder="1" applyAlignment="1">
      <alignment horizontal="center" vertical="center"/>
    </xf>
    <xf numFmtId="0" fontId="11" fillId="2" borderId="57" xfId="0" applyFont="1" applyFill="1" applyBorder="1" applyAlignment="1">
      <alignment horizontal="center" vertical="center"/>
    </xf>
    <xf numFmtId="0" fontId="78" fillId="2" borderId="55" xfId="0" applyFont="1" applyFill="1" applyBorder="1" applyAlignment="1">
      <alignment horizontal="center" vertical="center" wrapText="1"/>
    </xf>
    <xf numFmtId="0" fontId="78" fillId="2" borderId="56" xfId="0" applyFont="1" applyFill="1" applyBorder="1" applyAlignment="1">
      <alignment horizontal="center" vertical="center" wrapText="1"/>
    </xf>
    <xf numFmtId="4" fontId="78" fillId="2" borderId="55" xfId="0" applyNumberFormat="1" applyFont="1" applyFill="1" applyBorder="1" applyAlignment="1">
      <alignment horizontal="center" vertical="center" wrapText="1"/>
    </xf>
    <xf numFmtId="4" fontId="78" fillId="2" borderId="56" xfId="0" applyNumberFormat="1" applyFont="1" applyFill="1" applyBorder="1" applyAlignment="1">
      <alignment horizontal="center" vertical="center" wrapText="1"/>
    </xf>
    <xf numFmtId="2" fontId="27" fillId="0" borderId="8" xfId="0" applyNumberFormat="1" applyFont="1" applyBorder="1" applyAlignment="1">
      <alignment horizontal="center" vertical="center"/>
    </xf>
    <xf numFmtId="2" fontId="6" fillId="0" borderId="0" xfId="0" applyNumberFormat="1" applyFont="1" applyAlignment="1">
      <alignment horizontal="left"/>
    </xf>
    <xf numFmtId="9" fontId="26" fillId="2" borderId="0" xfId="1" applyFont="1" applyFill="1" applyAlignment="1">
      <alignment horizontal="center" vertical="center"/>
    </xf>
    <xf numFmtId="0" fontId="90" fillId="0" borderId="1" xfId="0" applyFont="1" applyBorder="1" applyAlignment="1">
      <alignment horizontal="center" vertical="center" wrapText="1"/>
    </xf>
    <xf numFmtId="2" fontId="26" fillId="2" borderId="1" xfId="0" applyNumberFormat="1" applyFont="1" applyFill="1" applyBorder="1" applyAlignment="1">
      <alignment horizontal="center" vertical="center"/>
    </xf>
    <xf numFmtId="2" fontId="26" fillId="2" borderId="10" xfId="0" applyNumberFormat="1" applyFont="1" applyFill="1" applyBorder="1" applyAlignment="1">
      <alignment horizontal="center" vertical="center"/>
    </xf>
    <xf numFmtId="2" fontId="26" fillId="2" borderId="12" xfId="0" applyNumberFormat="1" applyFont="1" applyFill="1" applyBorder="1" applyAlignment="1">
      <alignment horizontal="center" vertical="center"/>
    </xf>
    <xf numFmtId="2" fontId="26" fillId="2" borderId="11" xfId="0" applyNumberFormat="1" applyFont="1" applyFill="1" applyBorder="1" applyAlignment="1">
      <alignment horizontal="center" vertical="center"/>
    </xf>
    <xf numFmtId="2" fontId="26" fillId="2" borderId="13" xfId="0" applyNumberFormat="1" applyFont="1" applyFill="1" applyBorder="1" applyAlignment="1">
      <alignment horizontal="center" vertical="center"/>
    </xf>
    <xf numFmtId="0" fontId="11" fillId="2" borderId="35" xfId="0" applyFont="1" applyFill="1" applyBorder="1" applyAlignment="1">
      <alignment horizontal="center" vertical="center"/>
    </xf>
    <xf numFmtId="0" fontId="11" fillId="2" borderId="52" xfId="0" applyFont="1" applyFill="1" applyBorder="1" applyAlignment="1">
      <alignment horizontal="center" vertical="center"/>
    </xf>
    <xf numFmtId="0" fontId="78" fillId="2" borderId="29" xfId="0" applyFont="1" applyFill="1" applyBorder="1" applyAlignment="1">
      <alignment horizontal="center" vertical="center" wrapText="1"/>
    </xf>
    <xf numFmtId="0" fontId="78" fillId="2" borderId="57" xfId="0" applyFont="1" applyFill="1" applyBorder="1" applyAlignment="1">
      <alignment horizontal="center" vertical="center" wrapText="1"/>
    </xf>
    <xf numFmtId="4" fontId="78" fillId="2" borderId="55" xfId="0" applyNumberFormat="1" applyFont="1" applyFill="1" applyBorder="1" applyAlignment="1">
      <alignment horizontal="center" vertical="center"/>
    </xf>
    <xf numFmtId="4" fontId="78" fillId="2" borderId="56" xfId="0" applyNumberFormat="1" applyFont="1" applyFill="1" applyBorder="1" applyAlignment="1">
      <alignment horizontal="center" vertical="center"/>
    </xf>
    <xf numFmtId="0" fontId="100" fillId="0" borderId="1" xfId="0" applyFont="1" applyBorder="1" applyAlignment="1">
      <alignment horizontal="center" vertical="center" wrapText="1"/>
    </xf>
    <xf numFmtId="0" fontId="100" fillId="0" borderId="1" xfId="0" applyFont="1" applyBorder="1" applyAlignment="1">
      <alignment horizontal="center" vertical="center"/>
    </xf>
    <xf numFmtId="0" fontId="13" fillId="6" borderId="0" xfId="0" applyFont="1" applyFill="1" applyAlignment="1">
      <alignment horizontal="left" vertical="center"/>
    </xf>
    <xf numFmtId="0" fontId="90" fillId="0" borderId="1" xfId="0" applyFont="1" applyBorder="1" applyAlignment="1">
      <alignment horizontal="center" vertical="center"/>
    </xf>
    <xf numFmtId="0" fontId="11" fillId="2" borderId="0" xfId="0" applyFont="1" applyFill="1" applyAlignment="1">
      <alignment horizontal="center" vertical="center"/>
    </xf>
    <xf numFmtId="0" fontId="19" fillId="2" borderId="1" xfId="2" applyFont="1" applyFill="1" applyAlignment="1">
      <alignment horizontal="center" vertical="center" wrapText="1"/>
    </xf>
    <xf numFmtId="0" fontId="23" fillId="2" borderId="1" xfId="2" applyFont="1" applyFill="1" applyAlignment="1">
      <alignment horizontal="center" vertical="center"/>
    </xf>
    <xf numFmtId="0" fontId="92" fillId="0" borderId="1" xfId="0" applyFont="1" applyBorder="1" applyAlignment="1">
      <alignment horizontal="center" vertical="center" wrapText="1"/>
    </xf>
    <xf numFmtId="0" fontId="74" fillId="2" borderId="20" xfId="0" applyFont="1" applyFill="1" applyBorder="1" applyAlignment="1">
      <alignment horizontal="left" vertical="center"/>
    </xf>
    <xf numFmtId="0" fontId="60" fillId="0" borderId="0" xfId="0" applyFont="1" applyAlignment="1">
      <alignment horizontal="justify" vertical="top" wrapText="1"/>
    </xf>
    <xf numFmtId="4" fontId="66" fillId="2" borderId="20" xfId="0" applyNumberFormat="1" applyFont="1" applyFill="1" applyBorder="1" applyAlignment="1">
      <alignment horizontal="center" vertical="center"/>
    </xf>
    <xf numFmtId="4" fontId="66" fillId="2" borderId="26" xfId="0" applyNumberFormat="1" applyFont="1" applyFill="1" applyBorder="1" applyAlignment="1">
      <alignment horizontal="center" vertical="center" wrapText="1"/>
    </xf>
    <xf numFmtId="4" fontId="66" fillId="2" borderId="26" xfId="0" applyNumberFormat="1" applyFont="1" applyFill="1" applyBorder="1" applyAlignment="1">
      <alignment horizontal="center" vertical="center"/>
    </xf>
    <xf numFmtId="4" fontId="66" fillId="2" borderId="32" xfId="0" applyNumberFormat="1" applyFont="1" applyFill="1" applyBorder="1" applyAlignment="1">
      <alignment horizontal="center" vertical="center"/>
    </xf>
    <xf numFmtId="0" fontId="66" fillId="2" borderId="20" xfId="0" applyFont="1" applyFill="1" applyBorder="1" applyAlignment="1">
      <alignment horizontal="center" vertical="center" wrapText="1"/>
    </xf>
    <xf numFmtId="0" fontId="59" fillId="0" borderId="1" xfId="0" applyFont="1" applyBorder="1" applyAlignment="1">
      <alignment horizontal="center" vertical="center" wrapText="1"/>
    </xf>
    <xf numFmtId="0" fontId="66" fillId="2" borderId="20" xfId="0" applyFont="1" applyFill="1" applyBorder="1" applyAlignment="1">
      <alignment horizontal="left" vertical="center" wrapText="1"/>
    </xf>
    <xf numFmtId="0" fontId="66" fillId="2" borderId="26" xfId="0" applyFont="1" applyFill="1" applyBorder="1" applyAlignment="1">
      <alignment horizontal="center" vertical="center" wrapText="1"/>
    </xf>
    <xf numFmtId="4" fontId="66" fillId="2" borderId="27" xfId="0" applyNumberFormat="1" applyFont="1" applyFill="1" applyBorder="1" applyAlignment="1">
      <alignment horizontal="center" vertical="center"/>
    </xf>
    <xf numFmtId="4" fontId="66" fillId="2" borderId="28" xfId="0" applyNumberFormat="1" applyFont="1" applyFill="1" applyBorder="1" applyAlignment="1">
      <alignment horizontal="center" vertical="center"/>
    </xf>
    <xf numFmtId="4" fontId="66" fillId="2" borderId="25" xfId="0" applyNumberFormat="1" applyFont="1" applyFill="1" applyBorder="1" applyAlignment="1">
      <alignment horizontal="center" vertical="center" wrapText="1"/>
    </xf>
    <xf numFmtId="4" fontId="66" fillId="2" borderId="25" xfId="0" applyNumberFormat="1" applyFont="1" applyFill="1" applyBorder="1" applyAlignment="1">
      <alignment horizontal="center" vertical="center"/>
    </xf>
  </cellXfs>
  <cellStyles count="8">
    <cellStyle name="Hiperlink" xfId="6" builtinId="8"/>
    <cellStyle name="Normal" xfId="0" builtinId="0"/>
    <cellStyle name="Normal 3" xfId="7" xr:uid="{00000000-0005-0000-0000-000002000000}"/>
    <cellStyle name="Normal 4" xfId="2" xr:uid="{00000000-0005-0000-0000-000003000000}"/>
    <cellStyle name="Porcentagem" xfId="1" builtinId="5"/>
    <cellStyle name="Porcentagem 3" xfId="3" xr:uid="{00000000-0005-0000-0000-000005000000}"/>
    <cellStyle name="Vírgula" xfId="4" builtinId="3"/>
    <cellStyle name="Vírgula 2" xfId="5"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image" Target="../media/image8.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552450</xdr:colOff>
      <xdr:row>4</xdr:row>
      <xdr:rowOff>77066</xdr:rowOff>
    </xdr:from>
    <xdr:to>
      <xdr:col>8</xdr:col>
      <xdr:colOff>20222</xdr:colOff>
      <xdr:row>9</xdr:row>
      <xdr:rowOff>142875</xdr:rowOff>
    </xdr:to>
    <xdr:pic>
      <xdr:nvPicPr>
        <xdr:cNvPr id="3" name="Imagem 2">
          <a:extLst>
            <a:ext uri="{FF2B5EF4-FFF2-40B4-BE49-F238E27FC236}">
              <a16:creationId xmlns:a16="http://schemas.microsoft.com/office/drawing/2014/main" id="{4E2ACBB5-E85E-4557-9679-EEBE3567A3D1}"/>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4700"/>
                  </a14:imgEffect>
                </a14:imgLayer>
              </a14:imgProps>
            </a:ext>
          </a:extLst>
        </a:blip>
        <a:stretch>
          <a:fillRect/>
        </a:stretch>
      </xdr:blipFill>
      <xdr:spPr>
        <a:xfrm>
          <a:off x="3886200" y="800966"/>
          <a:ext cx="1468022" cy="970684"/>
        </a:xfrm>
        <a:prstGeom prst="rect">
          <a:avLst/>
        </a:prstGeom>
      </xdr:spPr>
    </xdr:pic>
    <xdr:clientData/>
  </xdr:twoCellAnchor>
  <xdr:twoCellAnchor editAs="oneCell">
    <xdr:from>
      <xdr:col>0</xdr:col>
      <xdr:colOff>657225</xdr:colOff>
      <xdr:row>4</xdr:row>
      <xdr:rowOff>9524</xdr:rowOff>
    </xdr:from>
    <xdr:to>
      <xdr:col>3</xdr:col>
      <xdr:colOff>238125</xdr:colOff>
      <xdr:row>10</xdr:row>
      <xdr:rowOff>57565</xdr:rowOff>
    </xdr:to>
    <xdr:pic>
      <xdr:nvPicPr>
        <xdr:cNvPr id="4" name="Imagem 3">
          <a:extLst>
            <a:ext uri="{FF2B5EF4-FFF2-40B4-BE49-F238E27FC236}">
              <a16:creationId xmlns:a16="http://schemas.microsoft.com/office/drawing/2014/main" id="{5F3DAF3B-7DE8-4AE4-8A6D-BB8B31281878}"/>
            </a:ext>
          </a:extLst>
        </xdr:cNvPr>
        <xdr:cNvPicPr>
          <a:picLocks noChangeAspect="1"/>
        </xdr:cNvPicPr>
      </xdr:nvPicPr>
      <xdr:blipFill>
        <a:blip xmlns:r="http://schemas.openxmlformats.org/officeDocument/2006/relationships" r:embed="rId3"/>
        <a:stretch>
          <a:fillRect/>
        </a:stretch>
      </xdr:blipFill>
      <xdr:spPr>
        <a:xfrm>
          <a:off x="657225" y="733424"/>
          <a:ext cx="1581150" cy="11338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0</xdr:col>
      <xdr:colOff>643573</xdr:colOff>
      <xdr:row>0</xdr:row>
      <xdr:rowOff>466725</xdr:rowOff>
    </xdr:to>
    <xdr:pic>
      <xdr:nvPicPr>
        <xdr:cNvPr id="3" name="Imagem 2">
          <a:extLst>
            <a:ext uri="{FF2B5EF4-FFF2-40B4-BE49-F238E27FC236}">
              <a16:creationId xmlns:a16="http://schemas.microsoft.com/office/drawing/2014/main" id="{69971614-D67D-428D-9A75-3AD5F1992267}"/>
            </a:ext>
          </a:extLst>
        </xdr:cNvPr>
        <xdr:cNvPicPr>
          <a:picLocks noChangeAspect="1"/>
        </xdr:cNvPicPr>
      </xdr:nvPicPr>
      <xdr:blipFill>
        <a:blip xmlns:r="http://schemas.openxmlformats.org/officeDocument/2006/relationships" r:embed="rId1"/>
        <a:stretch>
          <a:fillRect/>
        </a:stretch>
      </xdr:blipFill>
      <xdr:spPr>
        <a:xfrm>
          <a:off x="85725" y="66675"/>
          <a:ext cx="557848" cy="400050"/>
        </a:xfrm>
        <a:prstGeom prst="rect">
          <a:avLst/>
        </a:prstGeom>
      </xdr:spPr>
    </xdr:pic>
    <xdr:clientData/>
  </xdr:twoCellAnchor>
  <xdr:twoCellAnchor editAs="oneCell">
    <xdr:from>
      <xdr:col>17</xdr:col>
      <xdr:colOff>114300</xdr:colOff>
      <xdr:row>0</xdr:row>
      <xdr:rowOff>85725</xdr:rowOff>
    </xdr:from>
    <xdr:to>
      <xdr:col>17</xdr:col>
      <xdr:colOff>695325</xdr:colOff>
      <xdr:row>0</xdr:row>
      <xdr:rowOff>400050</xdr:rowOff>
    </xdr:to>
    <xdr:pic>
      <xdr:nvPicPr>
        <xdr:cNvPr id="4" name="Imagem 3" descr="AGEVAP.png">
          <a:extLst>
            <a:ext uri="{FF2B5EF4-FFF2-40B4-BE49-F238E27FC236}">
              <a16:creationId xmlns:a16="http://schemas.microsoft.com/office/drawing/2014/main" id="{63117AEC-1FA9-4661-BD70-3FDFFE430E95}"/>
            </a:ext>
          </a:extLst>
        </xdr:cNvPr>
        <xdr:cNvPicPr>
          <a:picLocks noChangeAspect="1"/>
        </xdr:cNvPicPr>
      </xdr:nvPicPr>
      <xdr:blipFill>
        <a:blip xmlns:r="http://schemas.openxmlformats.org/officeDocument/2006/relationships" r:embed="rId2" cstate="print"/>
        <a:stretch>
          <a:fillRect/>
        </a:stretch>
      </xdr:blipFill>
      <xdr:spPr>
        <a:xfrm>
          <a:off x="10001250" y="85725"/>
          <a:ext cx="581025" cy="3143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161925</xdr:colOff>
      <xdr:row>0</xdr:row>
      <xdr:rowOff>66675</xdr:rowOff>
    </xdr:from>
    <xdr:to>
      <xdr:col>0</xdr:col>
      <xdr:colOff>719773</xdr:colOff>
      <xdr:row>0</xdr:row>
      <xdr:rowOff>466725</xdr:rowOff>
    </xdr:to>
    <xdr:pic>
      <xdr:nvPicPr>
        <xdr:cNvPr id="2" name="Imagem 1">
          <a:extLst>
            <a:ext uri="{FF2B5EF4-FFF2-40B4-BE49-F238E27FC236}">
              <a16:creationId xmlns:a16="http://schemas.microsoft.com/office/drawing/2014/main" id="{4A1CDEF8-9921-4C77-9B78-25B66764FC29}"/>
            </a:ext>
          </a:extLst>
        </xdr:cNvPr>
        <xdr:cNvPicPr>
          <a:picLocks noChangeAspect="1"/>
        </xdr:cNvPicPr>
      </xdr:nvPicPr>
      <xdr:blipFill>
        <a:blip xmlns:r="http://schemas.openxmlformats.org/officeDocument/2006/relationships" r:embed="rId1"/>
        <a:stretch>
          <a:fillRect/>
        </a:stretch>
      </xdr:blipFill>
      <xdr:spPr>
        <a:xfrm>
          <a:off x="161925" y="66675"/>
          <a:ext cx="557848" cy="400050"/>
        </a:xfrm>
        <a:prstGeom prst="rect">
          <a:avLst/>
        </a:prstGeom>
      </xdr:spPr>
    </xdr:pic>
    <xdr:clientData/>
  </xdr:twoCellAnchor>
  <xdr:twoCellAnchor editAs="oneCell">
    <xdr:from>
      <xdr:col>11</xdr:col>
      <xdr:colOff>257175</xdr:colOff>
      <xdr:row>0</xdr:row>
      <xdr:rowOff>133350</xdr:rowOff>
    </xdr:from>
    <xdr:to>
      <xdr:col>12</xdr:col>
      <xdr:colOff>371475</xdr:colOff>
      <xdr:row>0</xdr:row>
      <xdr:rowOff>447675</xdr:rowOff>
    </xdr:to>
    <xdr:pic>
      <xdr:nvPicPr>
        <xdr:cNvPr id="3" name="Imagem 2" descr="AGEVAP.png">
          <a:extLst>
            <a:ext uri="{FF2B5EF4-FFF2-40B4-BE49-F238E27FC236}">
              <a16:creationId xmlns:a16="http://schemas.microsoft.com/office/drawing/2014/main" id="{B28F3938-0EFF-43AC-AAA5-D9C2BD43CF82}"/>
            </a:ext>
          </a:extLst>
        </xdr:cNvPr>
        <xdr:cNvPicPr>
          <a:picLocks noChangeAspect="1"/>
        </xdr:cNvPicPr>
      </xdr:nvPicPr>
      <xdr:blipFill>
        <a:blip xmlns:r="http://schemas.openxmlformats.org/officeDocument/2006/relationships" r:embed="rId2" cstate="print"/>
        <a:stretch>
          <a:fillRect/>
        </a:stretch>
      </xdr:blipFill>
      <xdr:spPr>
        <a:xfrm>
          <a:off x="5676900" y="133350"/>
          <a:ext cx="581025" cy="314325"/>
        </a:xfrm>
        <a:prstGeom prst="rect">
          <a:avLst/>
        </a:prstGeom>
      </xdr:spPr>
    </xdr:pic>
    <xdr:clientData/>
  </xdr:twoCellAnchor>
  <xdr:oneCellAnchor>
    <xdr:from>
      <xdr:col>0</xdr:col>
      <xdr:colOff>161925</xdr:colOff>
      <xdr:row>28</xdr:row>
      <xdr:rowOff>66675</xdr:rowOff>
    </xdr:from>
    <xdr:ext cx="557848" cy="400050"/>
    <xdr:pic>
      <xdr:nvPicPr>
        <xdr:cNvPr id="4" name="Imagem 3">
          <a:extLst>
            <a:ext uri="{FF2B5EF4-FFF2-40B4-BE49-F238E27FC236}">
              <a16:creationId xmlns:a16="http://schemas.microsoft.com/office/drawing/2014/main" id="{593D9874-E816-4117-9744-F5374AE69D5E}"/>
            </a:ext>
          </a:extLst>
        </xdr:cNvPr>
        <xdr:cNvPicPr>
          <a:picLocks noChangeAspect="1"/>
        </xdr:cNvPicPr>
      </xdr:nvPicPr>
      <xdr:blipFill>
        <a:blip xmlns:r="http://schemas.openxmlformats.org/officeDocument/2006/relationships" r:embed="rId1"/>
        <a:stretch>
          <a:fillRect/>
        </a:stretch>
      </xdr:blipFill>
      <xdr:spPr>
        <a:xfrm>
          <a:off x="161925" y="9410700"/>
          <a:ext cx="557848" cy="400050"/>
        </a:xfrm>
        <a:prstGeom prst="rect">
          <a:avLst/>
        </a:prstGeom>
      </xdr:spPr>
    </xdr:pic>
    <xdr:clientData/>
  </xdr:oneCellAnchor>
  <xdr:oneCellAnchor>
    <xdr:from>
      <xdr:col>11</xdr:col>
      <xdr:colOff>219075</xdr:colOff>
      <xdr:row>28</xdr:row>
      <xdr:rowOff>114300</xdr:rowOff>
    </xdr:from>
    <xdr:ext cx="581025" cy="314325"/>
    <xdr:pic>
      <xdr:nvPicPr>
        <xdr:cNvPr id="5" name="Imagem 4" descr="AGEVAP.png">
          <a:extLst>
            <a:ext uri="{FF2B5EF4-FFF2-40B4-BE49-F238E27FC236}">
              <a16:creationId xmlns:a16="http://schemas.microsoft.com/office/drawing/2014/main" id="{5F8C275F-4414-4BD2-ACF0-E0364D70D79E}"/>
            </a:ext>
          </a:extLst>
        </xdr:cNvPr>
        <xdr:cNvPicPr>
          <a:picLocks noChangeAspect="1"/>
        </xdr:cNvPicPr>
      </xdr:nvPicPr>
      <xdr:blipFill>
        <a:blip xmlns:r="http://schemas.openxmlformats.org/officeDocument/2006/relationships" r:embed="rId2" cstate="print"/>
        <a:stretch>
          <a:fillRect/>
        </a:stretch>
      </xdr:blipFill>
      <xdr:spPr>
        <a:xfrm>
          <a:off x="5638800" y="9458325"/>
          <a:ext cx="581025" cy="314325"/>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161925</xdr:colOff>
      <xdr:row>0</xdr:row>
      <xdr:rowOff>66675</xdr:rowOff>
    </xdr:from>
    <xdr:to>
      <xdr:col>0</xdr:col>
      <xdr:colOff>719773</xdr:colOff>
      <xdr:row>0</xdr:row>
      <xdr:rowOff>466725</xdr:rowOff>
    </xdr:to>
    <xdr:pic>
      <xdr:nvPicPr>
        <xdr:cNvPr id="2" name="Imagem 1">
          <a:extLst>
            <a:ext uri="{FF2B5EF4-FFF2-40B4-BE49-F238E27FC236}">
              <a16:creationId xmlns:a16="http://schemas.microsoft.com/office/drawing/2014/main" id="{3647D48A-DA44-4307-BBA8-2091F948625C}"/>
            </a:ext>
          </a:extLst>
        </xdr:cNvPr>
        <xdr:cNvPicPr>
          <a:picLocks noChangeAspect="1"/>
        </xdr:cNvPicPr>
      </xdr:nvPicPr>
      <xdr:blipFill>
        <a:blip xmlns:r="http://schemas.openxmlformats.org/officeDocument/2006/relationships" r:embed="rId1"/>
        <a:stretch>
          <a:fillRect/>
        </a:stretch>
      </xdr:blipFill>
      <xdr:spPr>
        <a:xfrm>
          <a:off x="161925" y="66675"/>
          <a:ext cx="557848" cy="400050"/>
        </a:xfrm>
        <a:prstGeom prst="rect">
          <a:avLst/>
        </a:prstGeom>
      </xdr:spPr>
    </xdr:pic>
    <xdr:clientData/>
  </xdr:twoCellAnchor>
  <xdr:twoCellAnchor editAs="oneCell">
    <xdr:from>
      <xdr:col>11</xdr:col>
      <xdr:colOff>257175</xdr:colOff>
      <xdr:row>0</xdr:row>
      <xdr:rowOff>133350</xdr:rowOff>
    </xdr:from>
    <xdr:to>
      <xdr:col>12</xdr:col>
      <xdr:colOff>371475</xdr:colOff>
      <xdr:row>0</xdr:row>
      <xdr:rowOff>447675</xdr:rowOff>
    </xdr:to>
    <xdr:pic>
      <xdr:nvPicPr>
        <xdr:cNvPr id="3" name="Imagem 2" descr="AGEVAP.png">
          <a:extLst>
            <a:ext uri="{FF2B5EF4-FFF2-40B4-BE49-F238E27FC236}">
              <a16:creationId xmlns:a16="http://schemas.microsoft.com/office/drawing/2014/main" id="{47632221-3BAD-45CA-B413-9540CF8E7799}"/>
            </a:ext>
          </a:extLst>
        </xdr:cNvPr>
        <xdr:cNvPicPr>
          <a:picLocks noChangeAspect="1"/>
        </xdr:cNvPicPr>
      </xdr:nvPicPr>
      <xdr:blipFill>
        <a:blip xmlns:r="http://schemas.openxmlformats.org/officeDocument/2006/relationships" r:embed="rId2" cstate="print"/>
        <a:stretch>
          <a:fillRect/>
        </a:stretch>
      </xdr:blipFill>
      <xdr:spPr>
        <a:xfrm>
          <a:off x="5676900" y="133350"/>
          <a:ext cx="581025" cy="314325"/>
        </a:xfrm>
        <a:prstGeom prst="rect">
          <a:avLst/>
        </a:prstGeom>
      </xdr:spPr>
    </xdr:pic>
    <xdr:clientData/>
  </xdr:twoCellAnchor>
  <xdr:oneCellAnchor>
    <xdr:from>
      <xdr:col>0</xdr:col>
      <xdr:colOff>161925</xdr:colOff>
      <xdr:row>29</xdr:row>
      <xdr:rowOff>66675</xdr:rowOff>
    </xdr:from>
    <xdr:ext cx="557848" cy="400050"/>
    <xdr:pic>
      <xdr:nvPicPr>
        <xdr:cNvPr id="4" name="Imagem 3">
          <a:extLst>
            <a:ext uri="{FF2B5EF4-FFF2-40B4-BE49-F238E27FC236}">
              <a16:creationId xmlns:a16="http://schemas.microsoft.com/office/drawing/2014/main" id="{1966850C-A654-49D6-8320-79D2314B4241}"/>
            </a:ext>
          </a:extLst>
        </xdr:cNvPr>
        <xdr:cNvPicPr>
          <a:picLocks noChangeAspect="1"/>
        </xdr:cNvPicPr>
      </xdr:nvPicPr>
      <xdr:blipFill>
        <a:blip xmlns:r="http://schemas.openxmlformats.org/officeDocument/2006/relationships" r:embed="rId1"/>
        <a:stretch>
          <a:fillRect/>
        </a:stretch>
      </xdr:blipFill>
      <xdr:spPr>
        <a:xfrm>
          <a:off x="161925" y="10267950"/>
          <a:ext cx="557848" cy="400050"/>
        </a:xfrm>
        <a:prstGeom prst="rect">
          <a:avLst/>
        </a:prstGeom>
      </xdr:spPr>
    </xdr:pic>
    <xdr:clientData/>
  </xdr:oneCellAnchor>
  <xdr:oneCellAnchor>
    <xdr:from>
      <xdr:col>11</xdr:col>
      <xdr:colOff>219075</xdr:colOff>
      <xdr:row>29</xdr:row>
      <xdr:rowOff>114300</xdr:rowOff>
    </xdr:from>
    <xdr:ext cx="581025" cy="314325"/>
    <xdr:pic>
      <xdr:nvPicPr>
        <xdr:cNvPr id="5" name="Imagem 4" descr="AGEVAP.png">
          <a:extLst>
            <a:ext uri="{FF2B5EF4-FFF2-40B4-BE49-F238E27FC236}">
              <a16:creationId xmlns:a16="http://schemas.microsoft.com/office/drawing/2014/main" id="{5B1CBDB1-774B-4BF1-AF97-60530D483511}"/>
            </a:ext>
          </a:extLst>
        </xdr:cNvPr>
        <xdr:cNvPicPr>
          <a:picLocks noChangeAspect="1"/>
        </xdr:cNvPicPr>
      </xdr:nvPicPr>
      <xdr:blipFill>
        <a:blip xmlns:r="http://schemas.openxmlformats.org/officeDocument/2006/relationships" r:embed="rId2" cstate="print"/>
        <a:stretch>
          <a:fillRect/>
        </a:stretch>
      </xdr:blipFill>
      <xdr:spPr>
        <a:xfrm>
          <a:off x="5638800" y="10315575"/>
          <a:ext cx="581025" cy="31432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161925</xdr:colOff>
      <xdr:row>0</xdr:row>
      <xdr:rowOff>66675</xdr:rowOff>
    </xdr:from>
    <xdr:to>
      <xdr:col>0</xdr:col>
      <xdr:colOff>719773</xdr:colOff>
      <xdr:row>0</xdr:row>
      <xdr:rowOff>466725</xdr:rowOff>
    </xdr:to>
    <xdr:pic>
      <xdr:nvPicPr>
        <xdr:cNvPr id="4" name="Imagem 3">
          <a:extLst>
            <a:ext uri="{FF2B5EF4-FFF2-40B4-BE49-F238E27FC236}">
              <a16:creationId xmlns:a16="http://schemas.microsoft.com/office/drawing/2014/main" id="{FADAB712-7095-4BC9-9D22-CF16675A41C9}"/>
            </a:ext>
          </a:extLst>
        </xdr:cNvPr>
        <xdr:cNvPicPr>
          <a:picLocks noChangeAspect="1"/>
        </xdr:cNvPicPr>
      </xdr:nvPicPr>
      <xdr:blipFill>
        <a:blip xmlns:r="http://schemas.openxmlformats.org/officeDocument/2006/relationships" r:embed="rId1"/>
        <a:stretch>
          <a:fillRect/>
        </a:stretch>
      </xdr:blipFill>
      <xdr:spPr>
        <a:xfrm>
          <a:off x="161925" y="66675"/>
          <a:ext cx="557848" cy="400050"/>
        </a:xfrm>
        <a:prstGeom prst="rect">
          <a:avLst/>
        </a:prstGeom>
      </xdr:spPr>
    </xdr:pic>
    <xdr:clientData/>
  </xdr:twoCellAnchor>
  <xdr:twoCellAnchor editAs="oneCell">
    <xdr:from>
      <xdr:col>11</xdr:col>
      <xdr:colOff>257175</xdr:colOff>
      <xdr:row>0</xdr:row>
      <xdr:rowOff>133350</xdr:rowOff>
    </xdr:from>
    <xdr:to>
      <xdr:col>12</xdr:col>
      <xdr:colOff>371475</xdr:colOff>
      <xdr:row>0</xdr:row>
      <xdr:rowOff>447675</xdr:rowOff>
    </xdr:to>
    <xdr:pic>
      <xdr:nvPicPr>
        <xdr:cNvPr id="5" name="Imagem 4" descr="AGEVAP.png">
          <a:extLst>
            <a:ext uri="{FF2B5EF4-FFF2-40B4-BE49-F238E27FC236}">
              <a16:creationId xmlns:a16="http://schemas.microsoft.com/office/drawing/2014/main" id="{153B6474-389E-4436-A22B-C566F29F3EA6}"/>
            </a:ext>
          </a:extLst>
        </xdr:cNvPr>
        <xdr:cNvPicPr>
          <a:picLocks noChangeAspect="1"/>
        </xdr:cNvPicPr>
      </xdr:nvPicPr>
      <xdr:blipFill>
        <a:blip xmlns:r="http://schemas.openxmlformats.org/officeDocument/2006/relationships" r:embed="rId2" cstate="print"/>
        <a:stretch>
          <a:fillRect/>
        </a:stretch>
      </xdr:blipFill>
      <xdr:spPr>
        <a:xfrm>
          <a:off x="5743575" y="133350"/>
          <a:ext cx="581025" cy="314325"/>
        </a:xfrm>
        <a:prstGeom prst="rect">
          <a:avLst/>
        </a:prstGeom>
      </xdr:spPr>
    </xdr:pic>
    <xdr:clientData/>
  </xdr:twoCellAnchor>
  <xdr:oneCellAnchor>
    <xdr:from>
      <xdr:col>0</xdr:col>
      <xdr:colOff>161925</xdr:colOff>
      <xdr:row>31</xdr:row>
      <xdr:rowOff>66675</xdr:rowOff>
    </xdr:from>
    <xdr:ext cx="557848" cy="400050"/>
    <xdr:pic>
      <xdr:nvPicPr>
        <xdr:cNvPr id="6" name="Imagem 5">
          <a:extLst>
            <a:ext uri="{FF2B5EF4-FFF2-40B4-BE49-F238E27FC236}">
              <a16:creationId xmlns:a16="http://schemas.microsoft.com/office/drawing/2014/main" id="{4744119F-CE93-49EC-B3B8-22740A2BC7F8}"/>
            </a:ext>
          </a:extLst>
        </xdr:cNvPr>
        <xdr:cNvPicPr>
          <a:picLocks noChangeAspect="1"/>
        </xdr:cNvPicPr>
      </xdr:nvPicPr>
      <xdr:blipFill>
        <a:blip xmlns:r="http://schemas.openxmlformats.org/officeDocument/2006/relationships" r:embed="rId1"/>
        <a:stretch>
          <a:fillRect/>
        </a:stretch>
      </xdr:blipFill>
      <xdr:spPr>
        <a:xfrm>
          <a:off x="161925" y="66675"/>
          <a:ext cx="557848" cy="400050"/>
        </a:xfrm>
        <a:prstGeom prst="rect">
          <a:avLst/>
        </a:prstGeom>
      </xdr:spPr>
    </xdr:pic>
    <xdr:clientData/>
  </xdr:oneCellAnchor>
  <xdr:oneCellAnchor>
    <xdr:from>
      <xdr:col>11</xdr:col>
      <xdr:colOff>219075</xdr:colOff>
      <xdr:row>31</xdr:row>
      <xdr:rowOff>114300</xdr:rowOff>
    </xdr:from>
    <xdr:ext cx="581025" cy="314325"/>
    <xdr:pic>
      <xdr:nvPicPr>
        <xdr:cNvPr id="7" name="Imagem 6" descr="AGEVAP.png">
          <a:extLst>
            <a:ext uri="{FF2B5EF4-FFF2-40B4-BE49-F238E27FC236}">
              <a16:creationId xmlns:a16="http://schemas.microsoft.com/office/drawing/2014/main" id="{C983FE95-59E8-4F2B-88E1-8DAB92F55AA7}"/>
            </a:ext>
          </a:extLst>
        </xdr:cNvPr>
        <xdr:cNvPicPr>
          <a:picLocks noChangeAspect="1"/>
        </xdr:cNvPicPr>
      </xdr:nvPicPr>
      <xdr:blipFill>
        <a:blip xmlns:r="http://schemas.openxmlformats.org/officeDocument/2006/relationships" r:embed="rId2" cstate="print"/>
        <a:stretch>
          <a:fillRect/>
        </a:stretch>
      </xdr:blipFill>
      <xdr:spPr>
        <a:xfrm>
          <a:off x="5705475" y="9458325"/>
          <a:ext cx="581025" cy="31432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161925</xdr:colOff>
      <xdr:row>0</xdr:row>
      <xdr:rowOff>66675</xdr:rowOff>
    </xdr:from>
    <xdr:to>
      <xdr:col>0</xdr:col>
      <xdr:colOff>719773</xdr:colOff>
      <xdr:row>0</xdr:row>
      <xdr:rowOff>466725</xdr:rowOff>
    </xdr:to>
    <xdr:pic>
      <xdr:nvPicPr>
        <xdr:cNvPr id="2" name="Imagem 1">
          <a:extLst>
            <a:ext uri="{FF2B5EF4-FFF2-40B4-BE49-F238E27FC236}">
              <a16:creationId xmlns:a16="http://schemas.microsoft.com/office/drawing/2014/main" id="{0265EBF9-9291-4E81-BDED-49FF5C236809}"/>
            </a:ext>
          </a:extLst>
        </xdr:cNvPr>
        <xdr:cNvPicPr>
          <a:picLocks noChangeAspect="1"/>
        </xdr:cNvPicPr>
      </xdr:nvPicPr>
      <xdr:blipFill>
        <a:blip xmlns:r="http://schemas.openxmlformats.org/officeDocument/2006/relationships" r:embed="rId1"/>
        <a:stretch>
          <a:fillRect/>
        </a:stretch>
      </xdr:blipFill>
      <xdr:spPr>
        <a:xfrm>
          <a:off x="161925" y="66675"/>
          <a:ext cx="557848" cy="400050"/>
        </a:xfrm>
        <a:prstGeom prst="rect">
          <a:avLst/>
        </a:prstGeom>
      </xdr:spPr>
    </xdr:pic>
    <xdr:clientData/>
  </xdr:twoCellAnchor>
  <xdr:twoCellAnchor editAs="oneCell">
    <xdr:from>
      <xdr:col>11</xdr:col>
      <xdr:colOff>257175</xdr:colOff>
      <xdr:row>0</xdr:row>
      <xdr:rowOff>133350</xdr:rowOff>
    </xdr:from>
    <xdr:to>
      <xdr:col>12</xdr:col>
      <xdr:colOff>371475</xdr:colOff>
      <xdr:row>0</xdr:row>
      <xdr:rowOff>447675</xdr:rowOff>
    </xdr:to>
    <xdr:pic>
      <xdr:nvPicPr>
        <xdr:cNvPr id="3" name="Imagem 2" descr="AGEVAP.png">
          <a:extLst>
            <a:ext uri="{FF2B5EF4-FFF2-40B4-BE49-F238E27FC236}">
              <a16:creationId xmlns:a16="http://schemas.microsoft.com/office/drawing/2014/main" id="{1E35435C-CCB4-4577-B441-B030D1571910}"/>
            </a:ext>
          </a:extLst>
        </xdr:cNvPr>
        <xdr:cNvPicPr>
          <a:picLocks noChangeAspect="1"/>
        </xdr:cNvPicPr>
      </xdr:nvPicPr>
      <xdr:blipFill>
        <a:blip xmlns:r="http://schemas.openxmlformats.org/officeDocument/2006/relationships" r:embed="rId2" cstate="print"/>
        <a:stretch>
          <a:fillRect/>
        </a:stretch>
      </xdr:blipFill>
      <xdr:spPr>
        <a:xfrm>
          <a:off x="5676900" y="133350"/>
          <a:ext cx="581025" cy="314325"/>
        </a:xfrm>
        <a:prstGeom prst="rect">
          <a:avLst/>
        </a:prstGeom>
      </xdr:spPr>
    </xdr:pic>
    <xdr:clientData/>
  </xdr:twoCellAnchor>
  <xdr:oneCellAnchor>
    <xdr:from>
      <xdr:col>0</xdr:col>
      <xdr:colOff>161925</xdr:colOff>
      <xdr:row>29</xdr:row>
      <xdr:rowOff>66675</xdr:rowOff>
    </xdr:from>
    <xdr:ext cx="557848" cy="400050"/>
    <xdr:pic>
      <xdr:nvPicPr>
        <xdr:cNvPr id="4" name="Imagem 3">
          <a:extLst>
            <a:ext uri="{FF2B5EF4-FFF2-40B4-BE49-F238E27FC236}">
              <a16:creationId xmlns:a16="http://schemas.microsoft.com/office/drawing/2014/main" id="{EE264EF6-F303-4A9B-B6E0-6977D5D80593}"/>
            </a:ext>
          </a:extLst>
        </xdr:cNvPr>
        <xdr:cNvPicPr>
          <a:picLocks noChangeAspect="1"/>
        </xdr:cNvPicPr>
      </xdr:nvPicPr>
      <xdr:blipFill>
        <a:blip xmlns:r="http://schemas.openxmlformats.org/officeDocument/2006/relationships" r:embed="rId1"/>
        <a:stretch>
          <a:fillRect/>
        </a:stretch>
      </xdr:blipFill>
      <xdr:spPr>
        <a:xfrm>
          <a:off x="161925" y="9505950"/>
          <a:ext cx="557848" cy="400050"/>
        </a:xfrm>
        <a:prstGeom prst="rect">
          <a:avLst/>
        </a:prstGeom>
      </xdr:spPr>
    </xdr:pic>
    <xdr:clientData/>
  </xdr:oneCellAnchor>
  <xdr:oneCellAnchor>
    <xdr:from>
      <xdr:col>11</xdr:col>
      <xdr:colOff>219075</xdr:colOff>
      <xdr:row>29</xdr:row>
      <xdr:rowOff>114300</xdr:rowOff>
    </xdr:from>
    <xdr:ext cx="581025" cy="314325"/>
    <xdr:pic>
      <xdr:nvPicPr>
        <xdr:cNvPr id="5" name="Imagem 4" descr="AGEVAP.png">
          <a:extLst>
            <a:ext uri="{FF2B5EF4-FFF2-40B4-BE49-F238E27FC236}">
              <a16:creationId xmlns:a16="http://schemas.microsoft.com/office/drawing/2014/main" id="{9FF02E8B-E70F-436D-A12B-28BE2F30F771}"/>
            </a:ext>
          </a:extLst>
        </xdr:cNvPr>
        <xdr:cNvPicPr>
          <a:picLocks noChangeAspect="1"/>
        </xdr:cNvPicPr>
      </xdr:nvPicPr>
      <xdr:blipFill>
        <a:blip xmlns:r="http://schemas.openxmlformats.org/officeDocument/2006/relationships" r:embed="rId2" cstate="print"/>
        <a:stretch>
          <a:fillRect/>
        </a:stretch>
      </xdr:blipFill>
      <xdr:spPr>
        <a:xfrm>
          <a:off x="5638800" y="9553575"/>
          <a:ext cx="581025" cy="31432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161925</xdr:colOff>
      <xdr:row>0</xdr:row>
      <xdr:rowOff>66675</xdr:rowOff>
    </xdr:from>
    <xdr:to>
      <xdr:col>1</xdr:col>
      <xdr:colOff>5398</xdr:colOff>
      <xdr:row>0</xdr:row>
      <xdr:rowOff>466725</xdr:rowOff>
    </xdr:to>
    <xdr:pic>
      <xdr:nvPicPr>
        <xdr:cNvPr id="2" name="Imagem 1">
          <a:extLst>
            <a:ext uri="{FF2B5EF4-FFF2-40B4-BE49-F238E27FC236}">
              <a16:creationId xmlns:a16="http://schemas.microsoft.com/office/drawing/2014/main" id="{DB22EA7D-4D2F-4DFC-9892-C39BC32CCF1A}"/>
            </a:ext>
          </a:extLst>
        </xdr:cNvPr>
        <xdr:cNvPicPr>
          <a:picLocks noChangeAspect="1"/>
        </xdr:cNvPicPr>
      </xdr:nvPicPr>
      <xdr:blipFill>
        <a:blip xmlns:r="http://schemas.openxmlformats.org/officeDocument/2006/relationships" r:embed="rId1"/>
        <a:stretch>
          <a:fillRect/>
        </a:stretch>
      </xdr:blipFill>
      <xdr:spPr>
        <a:xfrm>
          <a:off x="161925" y="66675"/>
          <a:ext cx="557848" cy="400050"/>
        </a:xfrm>
        <a:prstGeom prst="rect">
          <a:avLst/>
        </a:prstGeom>
      </xdr:spPr>
    </xdr:pic>
    <xdr:clientData/>
  </xdr:twoCellAnchor>
  <xdr:twoCellAnchor editAs="oneCell">
    <xdr:from>
      <xdr:col>11</xdr:col>
      <xdr:colOff>257175</xdr:colOff>
      <xdr:row>0</xdr:row>
      <xdr:rowOff>133350</xdr:rowOff>
    </xdr:from>
    <xdr:to>
      <xdr:col>12</xdr:col>
      <xdr:colOff>333375</xdr:colOff>
      <xdr:row>0</xdr:row>
      <xdr:rowOff>447675</xdr:rowOff>
    </xdr:to>
    <xdr:pic>
      <xdr:nvPicPr>
        <xdr:cNvPr id="3" name="Imagem 2" descr="AGEVAP.png">
          <a:extLst>
            <a:ext uri="{FF2B5EF4-FFF2-40B4-BE49-F238E27FC236}">
              <a16:creationId xmlns:a16="http://schemas.microsoft.com/office/drawing/2014/main" id="{3A4B137C-9E41-480F-AF8E-E659B5037B0E}"/>
            </a:ext>
          </a:extLst>
        </xdr:cNvPr>
        <xdr:cNvPicPr>
          <a:picLocks noChangeAspect="1"/>
        </xdr:cNvPicPr>
      </xdr:nvPicPr>
      <xdr:blipFill>
        <a:blip xmlns:r="http://schemas.openxmlformats.org/officeDocument/2006/relationships" r:embed="rId2" cstate="print"/>
        <a:stretch>
          <a:fillRect/>
        </a:stretch>
      </xdr:blipFill>
      <xdr:spPr>
        <a:xfrm>
          <a:off x="5676900" y="133350"/>
          <a:ext cx="581025" cy="314325"/>
        </a:xfrm>
        <a:prstGeom prst="rect">
          <a:avLst/>
        </a:prstGeom>
      </xdr:spPr>
    </xdr:pic>
    <xdr:clientData/>
  </xdr:twoCellAnchor>
  <xdr:oneCellAnchor>
    <xdr:from>
      <xdr:col>0</xdr:col>
      <xdr:colOff>161925</xdr:colOff>
      <xdr:row>30</xdr:row>
      <xdr:rowOff>66675</xdr:rowOff>
    </xdr:from>
    <xdr:ext cx="557848" cy="400050"/>
    <xdr:pic>
      <xdr:nvPicPr>
        <xdr:cNvPr id="4" name="Imagem 3">
          <a:extLst>
            <a:ext uri="{FF2B5EF4-FFF2-40B4-BE49-F238E27FC236}">
              <a16:creationId xmlns:a16="http://schemas.microsoft.com/office/drawing/2014/main" id="{08634C58-F99A-42D2-8DCC-045D3A82636D}"/>
            </a:ext>
          </a:extLst>
        </xdr:cNvPr>
        <xdr:cNvPicPr>
          <a:picLocks noChangeAspect="1"/>
        </xdr:cNvPicPr>
      </xdr:nvPicPr>
      <xdr:blipFill>
        <a:blip xmlns:r="http://schemas.openxmlformats.org/officeDocument/2006/relationships" r:embed="rId1"/>
        <a:stretch>
          <a:fillRect/>
        </a:stretch>
      </xdr:blipFill>
      <xdr:spPr>
        <a:xfrm>
          <a:off x="161925" y="10267950"/>
          <a:ext cx="557848" cy="400050"/>
        </a:xfrm>
        <a:prstGeom prst="rect">
          <a:avLst/>
        </a:prstGeom>
      </xdr:spPr>
    </xdr:pic>
    <xdr:clientData/>
  </xdr:oneCellAnchor>
  <xdr:oneCellAnchor>
    <xdr:from>
      <xdr:col>11</xdr:col>
      <xdr:colOff>219075</xdr:colOff>
      <xdr:row>30</xdr:row>
      <xdr:rowOff>114300</xdr:rowOff>
    </xdr:from>
    <xdr:ext cx="581025" cy="314325"/>
    <xdr:pic>
      <xdr:nvPicPr>
        <xdr:cNvPr id="5" name="Imagem 4" descr="AGEVAP.png">
          <a:extLst>
            <a:ext uri="{FF2B5EF4-FFF2-40B4-BE49-F238E27FC236}">
              <a16:creationId xmlns:a16="http://schemas.microsoft.com/office/drawing/2014/main" id="{3351C86E-4C0B-49B8-B20E-F6BDA5E7421F}"/>
            </a:ext>
          </a:extLst>
        </xdr:cNvPr>
        <xdr:cNvPicPr>
          <a:picLocks noChangeAspect="1"/>
        </xdr:cNvPicPr>
      </xdr:nvPicPr>
      <xdr:blipFill>
        <a:blip xmlns:r="http://schemas.openxmlformats.org/officeDocument/2006/relationships" r:embed="rId2" cstate="print"/>
        <a:stretch>
          <a:fillRect/>
        </a:stretch>
      </xdr:blipFill>
      <xdr:spPr>
        <a:xfrm>
          <a:off x="5638800" y="10315575"/>
          <a:ext cx="581025" cy="314325"/>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161925</xdr:colOff>
      <xdr:row>0</xdr:row>
      <xdr:rowOff>66675</xdr:rowOff>
    </xdr:from>
    <xdr:to>
      <xdr:col>0</xdr:col>
      <xdr:colOff>719773</xdr:colOff>
      <xdr:row>0</xdr:row>
      <xdr:rowOff>466725</xdr:rowOff>
    </xdr:to>
    <xdr:pic>
      <xdr:nvPicPr>
        <xdr:cNvPr id="2" name="Imagem 1">
          <a:extLst>
            <a:ext uri="{FF2B5EF4-FFF2-40B4-BE49-F238E27FC236}">
              <a16:creationId xmlns:a16="http://schemas.microsoft.com/office/drawing/2014/main" id="{5105E541-45A8-4DA5-9765-4E365630C352}"/>
            </a:ext>
          </a:extLst>
        </xdr:cNvPr>
        <xdr:cNvPicPr>
          <a:picLocks noChangeAspect="1"/>
        </xdr:cNvPicPr>
      </xdr:nvPicPr>
      <xdr:blipFill>
        <a:blip xmlns:r="http://schemas.openxmlformats.org/officeDocument/2006/relationships" r:embed="rId1"/>
        <a:stretch>
          <a:fillRect/>
        </a:stretch>
      </xdr:blipFill>
      <xdr:spPr>
        <a:xfrm>
          <a:off x="161925" y="66675"/>
          <a:ext cx="557848" cy="400050"/>
        </a:xfrm>
        <a:prstGeom prst="rect">
          <a:avLst/>
        </a:prstGeom>
      </xdr:spPr>
    </xdr:pic>
    <xdr:clientData/>
  </xdr:twoCellAnchor>
  <xdr:twoCellAnchor editAs="oneCell">
    <xdr:from>
      <xdr:col>11</xdr:col>
      <xdr:colOff>257175</xdr:colOff>
      <xdr:row>0</xdr:row>
      <xdr:rowOff>133350</xdr:rowOff>
    </xdr:from>
    <xdr:to>
      <xdr:col>12</xdr:col>
      <xdr:colOff>333375</xdr:colOff>
      <xdr:row>0</xdr:row>
      <xdr:rowOff>447675</xdr:rowOff>
    </xdr:to>
    <xdr:pic>
      <xdr:nvPicPr>
        <xdr:cNvPr id="3" name="Imagem 2" descr="AGEVAP.png">
          <a:extLst>
            <a:ext uri="{FF2B5EF4-FFF2-40B4-BE49-F238E27FC236}">
              <a16:creationId xmlns:a16="http://schemas.microsoft.com/office/drawing/2014/main" id="{020382C3-59CE-4751-A842-3C56BF2DDBE0}"/>
            </a:ext>
          </a:extLst>
        </xdr:cNvPr>
        <xdr:cNvPicPr>
          <a:picLocks noChangeAspect="1"/>
        </xdr:cNvPicPr>
      </xdr:nvPicPr>
      <xdr:blipFill>
        <a:blip xmlns:r="http://schemas.openxmlformats.org/officeDocument/2006/relationships" r:embed="rId2" cstate="print"/>
        <a:stretch>
          <a:fillRect/>
        </a:stretch>
      </xdr:blipFill>
      <xdr:spPr>
        <a:xfrm>
          <a:off x="6076950" y="133350"/>
          <a:ext cx="581025" cy="314325"/>
        </a:xfrm>
        <a:prstGeom prst="rect">
          <a:avLst/>
        </a:prstGeom>
      </xdr:spPr>
    </xdr:pic>
    <xdr:clientData/>
  </xdr:twoCellAnchor>
  <xdr:oneCellAnchor>
    <xdr:from>
      <xdr:col>0</xdr:col>
      <xdr:colOff>161925</xdr:colOff>
      <xdr:row>30</xdr:row>
      <xdr:rowOff>66675</xdr:rowOff>
    </xdr:from>
    <xdr:ext cx="557848" cy="400050"/>
    <xdr:pic>
      <xdr:nvPicPr>
        <xdr:cNvPr id="4" name="Imagem 3">
          <a:extLst>
            <a:ext uri="{FF2B5EF4-FFF2-40B4-BE49-F238E27FC236}">
              <a16:creationId xmlns:a16="http://schemas.microsoft.com/office/drawing/2014/main" id="{864DFD62-D7F0-4160-A039-C918AC56C33C}"/>
            </a:ext>
          </a:extLst>
        </xdr:cNvPr>
        <xdr:cNvPicPr>
          <a:picLocks noChangeAspect="1"/>
        </xdr:cNvPicPr>
      </xdr:nvPicPr>
      <xdr:blipFill>
        <a:blip xmlns:r="http://schemas.openxmlformats.org/officeDocument/2006/relationships" r:embed="rId1"/>
        <a:stretch>
          <a:fillRect/>
        </a:stretch>
      </xdr:blipFill>
      <xdr:spPr>
        <a:xfrm>
          <a:off x="161925" y="9944100"/>
          <a:ext cx="557848" cy="400050"/>
        </a:xfrm>
        <a:prstGeom prst="rect">
          <a:avLst/>
        </a:prstGeom>
      </xdr:spPr>
    </xdr:pic>
    <xdr:clientData/>
  </xdr:oneCellAnchor>
  <xdr:oneCellAnchor>
    <xdr:from>
      <xdr:col>11</xdr:col>
      <xdr:colOff>219075</xdr:colOff>
      <xdr:row>30</xdr:row>
      <xdr:rowOff>114300</xdr:rowOff>
    </xdr:from>
    <xdr:ext cx="581025" cy="314325"/>
    <xdr:pic>
      <xdr:nvPicPr>
        <xdr:cNvPr id="5" name="Imagem 4" descr="AGEVAP.png">
          <a:extLst>
            <a:ext uri="{FF2B5EF4-FFF2-40B4-BE49-F238E27FC236}">
              <a16:creationId xmlns:a16="http://schemas.microsoft.com/office/drawing/2014/main" id="{ABADB40A-0CE8-48B4-9004-147E0AC00D70}"/>
            </a:ext>
          </a:extLst>
        </xdr:cNvPr>
        <xdr:cNvPicPr>
          <a:picLocks noChangeAspect="1"/>
        </xdr:cNvPicPr>
      </xdr:nvPicPr>
      <xdr:blipFill>
        <a:blip xmlns:r="http://schemas.openxmlformats.org/officeDocument/2006/relationships" r:embed="rId2" cstate="print"/>
        <a:stretch>
          <a:fillRect/>
        </a:stretch>
      </xdr:blipFill>
      <xdr:spPr>
        <a:xfrm>
          <a:off x="6038850" y="9991725"/>
          <a:ext cx="581025" cy="314325"/>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161925</xdr:colOff>
      <xdr:row>0</xdr:row>
      <xdr:rowOff>66675</xdr:rowOff>
    </xdr:from>
    <xdr:to>
      <xdr:col>0</xdr:col>
      <xdr:colOff>719773</xdr:colOff>
      <xdr:row>0</xdr:row>
      <xdr:rowOff>466725</xdr:rowOff>
    </xdr:to>
    <xdr:pic>
      <xdr:nvPicPr>
        <xdr:cNvPr id="2" name="Imagem 1">
          <a:extLst>
            <a:ext uri="{FF2B5EF4-FFF2-40B4-BE49-F238E27FC236}">
              <a16:creationId xmlns:a16="http://schemas.microsoft.com/office/drawing/2014/main" id="{0B3394FD-2897-4917-8A76-EF0273846174}"/>
            </a:ext>
          </a:extLst>
        </xdr:cNvPr>
        <xdr:cNvPicPr>
          <a:picLocks noChangeAspect="1"/>
        </xdr:cNvPicPr>
      </xdr:nvPicPr>
      <xdr:blipFill>
        <a:blip xmlns:r="http://schemas.openxmlformats.org/officeDocument/2006/relationships" r:embed="rId1"/>
        <a:stretch>
          <a:fillRect/>
        </a:stretch>
      </xdr:blipFill>
      <xdr:spPr>
        <a:xfrm>
          <a:off x="161925" y="66675"/>
          <a:ext cx="557848" cy="400050"/>
        </a:xfrm>
        <a:prstGeom prst="rect">
          <a:avLst/>
        </a:prstGeom>
      </xdr:spPr>
    </xdr:pic>
    <xdr:clientData/>
  </xdr:twoCellAnchor>
  <xdr:twoCellAnchor editAs="oneCell">
    <xdr:from>
      <xdr:col>11</xdr:col>
      <xdr:colOff>257175</xdr:colOff>
      <xdr:row>0</xdr:row>
      <xdr:rowOff>133350</xdr:rowOff>
    </xdr:from>
    <xdr:to>
      <xdr:col>12</xdr:col>
      <xdr:colOff>333375</xdr:colOff>
      <xdr:row>0</xdr:row>
      <xdr:rowOff>447675</xdr:rowOff>
    </xdr:to>
    <xdr:pic>
      <xdr:nvPicPr>
        <xdr:cNvPr id="3" name="Imagem 2" descr="AGEVAP.png">
          <a:extLst>
            <a:ext uri="{FF2B5EF4-FFF2-40B4-BE49-F238E27FC236}">
              <a16:creationId xmlns:a16="http://schemas.microsoft.com/office/drawing/2014/main" id="{7511F00C-1D17-4F3D-892D-22BB367A6598}"/>
            </a:ext>
          </a:extLst>
        </xdr:cNvPr>
        <xdr:cNvPicPr>
          <a:picLocks noChangeAspect="1"/>
        </xdr:cNvPicPr>
      </xdr:nvPicPr>
      <xdr:blipFill>
        <a:blip xmlns:r="http://schemas.openxmlformats.org/officeDocument/2006/relationships" r:embed="rId2" cstate="print"/>
        <a:stretch>
          <a:fillRect/>
        </a:stretch>
      </xdr:blipFill>
      <xdr:spPr>
        <a:xfrm>
          <a:off x="6076950" y="133350"/>
          <a:ext cx="581025" cy="314325"/>
        </a:xfrm>
        <a:prstGeom prst="rect">
          <a:avLst/>
        </a:prstGeom>
      </xdr:spPr>
    </xdr:pic>
    <xdr:clientData/>
  </xdr:twoCellAnchor>
  <xdr:oneCellAnchor>
    <xdr:from>
      <xdr:col>0</xdr:col>
      <xdr:colOff>161925</xdr:colOff>
      <xdr:row>30</xdr:row>
      <xdr:rowOff>66675</xdr:rowOff>
    </xdr:from>
    <xdr:ext cx="557848" cy="400050"/>
    <xdr:pic>
      <xdr:nvPicPr>
        <xdr:cNvPr id="4" name="Imagem 3">
          <a:extLst>
            <a:ext uri="{FF2B5EF4-FFF2-40B4-BE49-F238E27FC236}">
              <a16:creationId xmlns:a16="http://schemas.microsoft.com/office/drawing/2014/main" id="{CC110004-8762-4ED2-B86C-213E3E325BC4}"/>
            </a:ext>
          </a:extLst>
        </xdr:cNvPr>
        <xdr:cNvPicPr>
          <a:picLocks noChangeAspect="1"/>
        </xdr:cNvPicPr>
      </xdr:nvPicPr>
      <xdr:blipFill>
        <a:blip xmlns:r="http://schemas.openxmlformats.org/officeDocument/2006/relationships" r:embed="rId1"/>
        <a:stretch>
          <a:fillRect/>
        </a:stretch>
      </xdr:blipFill>
      <xdr:spPr>
        <a:xfrm>
          <a:off x="161925" y="9944100"/>
          <a:ext cx="557848" cy="400050"/>
        </a:xfrm>
        <a:prstGeom prst="rect">
          <a:avLst/>
        </a:prstGeom>
      </xdr:spPr>
    </xdr:pic>
    <xdr:clientData/>
  </xdr:oneCellAnchor>
  <xdr:oneCellAnchor>
    <xdr:from>
      <xdr:col>11</xdr:col>
      <xdr:colOff>219075</xdr:colOff>
      <xdr:row>30</xdr:row>
      <xdr:rowOff>114300</xdr:rowOff>
    </xdr:from>
    <xdr:ext cx="581025" cy="314325"/>
    <xdr:pic>
      <xdr:nvPicPr>
        <xdr:cNvPr id="5" name="Imagem 4" descr="AGEVAP.png">
          <a:extLst>
            <a:ext uri="{FF2B5EF4-FFF2-40B4-BE49-F238E27FC236}">
              <a16:creationId xmlns:a16="http://schemas.microsoft.com/office/drawing/2014/main" id="{100FF84D-7A07-4BC9-8905-8C8C58945915}"/>
            </a:ext>
          </a:extLst>
        </xdr:cNvPr>
        <xdr:cNvPicPr>
          <a:picLocks noChangeAspect="1"/>
        </xdr:cNvPicPr>
      </xdr:nvPicPr>
      <xdr:blipFill>
        <a:blip xmlns:r="http://schemas.openxmlformats.org/officeDocument/2006/relationships" r:embed="rId2" cstate="print"/>
        <a:stretch>
          <a:fillRect/>
        </a:stretch>
      </xdr:blipFill>
      <xdr:spPr>
        <a:xfrm>
          <a:off x="6038850" y="9991725"/>
          <a:ext cx="581025" cy="314325"/>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161925</xdr:colOff>
      <xdr:row>0</xdr:row>
      <xdr:rowOff>66675</xdr:rowOff>
    </xdr:from>
    <xdr:to>
      <xdr:col>0</xdr:col>
      <xdr:colOff>719773</xdr:colOff>
      <xdr:row>0</xdr:row>
      <xdr:rowOff>466725</xdr:rowOff>
    </xdr:to>
    <xdr:pic>
      <xdr:nvPicPr>
        <xdr:cNvPr id="2" name="Imagem 1">
          <a:extLst>
            <a:ext uri="{FF2B5EF4-FFF2-40B4-BE49-F238E27FC236}">
              <a16:creationId xmlns:a16="http://schemas.microsoft.com/office/drawing/2014/main" id="{79BE1F95-CA35-4DF7-A0F7-AC086D059B4C}"/>
            </a:ext>
          </a:extLst>
        </xdr:cNvPr>
        <xdr:cNvPicPr>
          <a:picLocks noChangeAspect="1"/>
        </xdr:cNvPicPr>
      </xdr:nvPicPr>
      <xdr:blipFill>
        <a:blip xmlns:r="http://schemas.openxmlformats.org/officeDocument/2006/relationships" r:embed="rId1"/>
        <a:stretch>
          <a:fillRect/>
        </a:stretch>
      </xdr:blipFill>
      <xdr:spPr>
        <a:xfrm>
          <a:off x="161925" y="66675"/>
          <a:ext cx="557848" cy="400050"/>
        </a:xfrm>
        <a:prstGeom prst="rect">
          <a:avLst/>
        </a:prstGeom>
      </xdr:spPr>
    </xdr:pic>
    <xdr:clientData/>
  </xdr:twoCellAnchor>
  <xdr:twoCellAnchor editAs="oneCell">
    <xdr:from>
      <xdr:col>11</xdr:col>
      <xdr:colOff>257175</xdr:colOff>
      <xdr:row>0</xdr:row>
      <xdr:rowOff>133350</xdr:rowOff>
    </xdr:from>
    <xdr:to>
      <xdr:col>12</xdr:col>
      <xdr:colOff>333375</xdr:colOff>
      <xdr:row>0</xdr:row>
      <xdr:rowOff>447675</xdr:rowOff>
    </xdr:to>
    <xdr:pic>
      <xdr:nvPicPr>
        <xdr:cNvPr id="3" name="Imagem 2" descr="AGEVAP.png">
          <a:extLst>
            <a:ext uri="{FF2B5EF4-FFF2-40B4-BE49-F238E27FC236}">
              <a16:creationId xmlns:a16="http://schemas.microsoft.com/office/drawing/2014/main" id="{6142C414-CBD3-442D-9FB0-5216BAED0CD9}"/>
            </a:ext>
          </a:extLst>
        </xdr:cNvPr>
        <xdr:cNvPicPr>
          <a:picLocks noChangeAspect="1"/>
        </xdr:cNvPicPr>
      </xdr:nvPicPr>
      <xdr:blipFill>
        <a:blip xmlns:r="http://schemas.openxmlformats.org/officeDocument/2006/relationships" r:embed="rId2" cstate="print"/>
        <a:stretch>
          <a:fillRect/>
        </a:stretch>
      </xdr:blipFill>
      <xdr:spPr>
        <a:xfrm>
          <a:off x="5676900" y="133350"/>
          <a:ext cx="581025" cy="314325"/>
        </a:xfrm>
        <a:prstGeom prst="rect">
          <a:avLst/>
        </a:prstGeom>
      </xdr:spPr>
    </xdr:pic>
    <xdr:clientData/>
  </xdr:twoCellAnchor>
  <xdr:oneCellAnchor>
    <xdr:from>
      <xdr:col>0</xdr:col>
      <xdr:colOff>161925</xdr:colOff>
      <xdr:row>30</xdr:row>
      <xdr:rowOff>66675</xdr:rowOff>
    </xdr:from>
    <xdr:ext cx="557848" cy="400050"/>
    <xdr:pic>
      <xdr:nvPicPr>
        <xdr:cNvPr id="4" name="Imagem 3">
          <a:extLst>
            <a:ext uri="{FF2B5EF4-FFF2-40B4-BE49-F238E27FC236}">
              <a16:creationId xmlns:a16="http://schemas.microsoft.com/office/drawing/2014/main" id="{72856B91-4D91-4845-B376-D6AA68C6EA47}"/>
            </a:ext>
          </a:extLst>
        </xdr:cNvPr>
        <xdr:cNvPicPr>
          <a:picLocks noChangeAspect="1"/>
        </xdr:cNvPicPr>
      </xdr:nvPicPr>
      <xdr:blipFill>
        <a:blip xmlns:r="http://schemas.openxmlformats.org/officeDocument/2006/relationships" r:embed="rId1"/>
        <a:stretch>
          <a:fillRect/>
        </a:stretch>
      </xdr:blipFill>
      <xdr:spPr>
        <a:xfrm>
          <a:off x="161925" y="9944100"/>
          <a:ext cx="557848" cy="400050"/>
        </a:xfrm>
        <a:prstGeom prst="rect">
          <a:avLst/>
        </a:prstGeom>
      </xdr:spPr>
    </xdr:pic>
    <xdr:clientData/>
  </xdr:oneCellAnchor>
  <xdr:oneCellAnchor>
    <xdr:from>
      <xdr:col>11</xdr:col>
      <xdr:colOff>219075</xdr:colOff>
      <xdr:row>30</xdr:row>
      <xdr:rowOff>114300</xdr:rowOff>
    </xdr:from>
    <xdr:ext cx="581025" cy="314325"/>
    <xdr:pic>
      <xdr:nvPicPr>
        <xdr:cNvPr id="5" name="Imagem 4" descr="AGEVAP.png">
          <a:extLst>
            <a:ext uri="{FF2B5EF4-FFF2-40B4-BE49-F238E27FC236}">
              <a16:creationId xmlns:a16="http://schemas.microsoft.com/office/drawing/2014/main" id="{21085EA4-652D-44DD-A10B-C834A65A7C8A}"/>
            </a:ext>
          </a:extLst>
        </xdr:cNvPr>
        <xdr:cNvPicPr>
          <a:picLocks noChangeAspect="1"/>
        </xdr:cNvPicPr>
      </xdr:nvPicPr>
      <xdr:blipFill>
        <a:blip xmlns:r="http://schemas.openxmlformats.org/officeDocument/2006/relationships" r:embed="rId2" cstate="print"/>
        <a:stretch>
          <a:fillRect/>
        </a:stretch>
      </xdr:blipFill>
      <xdr:spPr>
        <a:xfrm>
          <a:off x="5638800" y="9991725"/>
          <a:ext cx="581025" cy="314325"/>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161925</xdr:colOff>
      <xdr:row>0</xdr:row>
      <xdr:rowOff>66675</xdr:rowOff>
    </xdr:from>
    <xdr:to>
      <xdr:col>0</xdr:col>
      <xdr:colOff>719773</xdr:colOff>
      <xdr:row>0</xdr:row>
      <xdr:rowOff>466725</xdr:rowOff>
    </xdr:to>
    <xdr:pic>
      <xdr:nvPicPr>
        <xdr:cNvPr id="2" name="Imagem 1">
          <a:extLst>
            <a:ext uri="{FF2B5EF4-FFF2-40B4-BE49-F238E27FC236}">
              <a16:creationId xmlns:a16="http://schemas.microsoft.com/office/drawing/2014/main" id="{501BC8B1-DBD6-4829-853D-D0007C63E6BD}"/>
            </a:ext>
          </a:extLst>
        </xdr:cNvPr>
        <xdr:cNvPicPr>
          <a:picLocks noChangeAspect="1"/>
        </xdr:cNvPicPr>
      </xdr:nvPicPr>
      <xdr:blipFill>
        <a:blip xmlns:r="http://schemas.openxmlformats.org/officeDocument/2006/relationships" r:embed="rId1"/>
        <a:stretch>
          <a:fillRect/>
        </a:stretch>
      </xdr:blipFill>
      <xdr:spPr>
        <a:xfrm>
          <a:off x="161925" y="66675"/>
          <a:ext cx="557848" cy="400050"/>
        </a:xfrm>
        <a:prstGeom prst="rect">
          <a:avLst/>
        </a:prstGeom>
      </xdr:spPr>
    </xdr:pic>
    <xdr:clientData/>
  </xdr:twoCellAnchor>
  <xdr:twoCellAnchor editAs="oneCell">
    <xdr:from>
      <xdr:col>11</xdr:col>
      <xdr:colOff>257175</xdr:colOff>
      <xdr:row>0</xdr:row>
      <xdr:rowOff>133350</xdr:rowOff>
    </xdr:from>
    <xdr:to>
      <xdr:col>12</xdr:col>
      <xdr:colOff>333375</xdr:colOff>
      <xdr:row>0</xdr:row>
      <xdr:rowOff>447675</xdr:rowOff>
    </xdr:to>
    <xdr:pic>
      <xdr:nvPicPr>
        <xdr:cNvPr id="3" name="Imagem 2" descr="AGEVAP.png">
          <a:extLst>
            <a:ext uri="{FF2B5EF4-FFF2-40B4-BE49-F238E27FC236}">
              <a16:creationId xmlns:a16="http://schemas.microsoft.com/office/drawing/2014/main" id="{E73579D2-CBBA-4831-A872-711A3877AF0D}"/>
            </a:ext>
          </a:extLst>
        </xdr:cNvPr>
        <xdr:cNvPicPr>
          <a:picLocks noChangeAspect="1"/>
        </xdr:cNvPicPr>
      </xdr:nvPicPr>
      <xdr:blipFill>
        <a:blip xmlns:r="http://schemas.openxmlformats.org/officeDocument/2006/relationships" r:embed="rId2" cstate="print"/>
        <a:stretch>
          <a:fillRect/>
        </a:stretch>
      </xdr:blipFill>
      <xdr:spPr>
        <a:xfrm>
          <a:off x="6076950" y="133350"/>
          <a:ext cx="581025" cy="314325"/>
        </a:xfrm>
        <a:prstGeom prst="rect">
          <a:avLst/>
        </a:prstGeom>
      </xdr:spPr>
    </xdr:pic>
    <xdr:clientData/>
  </xdr:twoCellAnchor>
  <xdr:oneCellAnchor>
    <xdr:from>
      <xdr:col>0</xdr:col>
      <xdr:colOff>161925</xdr:colOff>
      <xdr:row>30</xdr:row>
      <xdr:rowOff>66675</xdr:rowOff>
    </xdr:from>
    <xdr:ext cx="557848" cy="400050"/>
    <xdr:pic>
      <xdr:nvPicPr>
        <xdr:cNvPr id="4" name="Imagem 3">
          <a:extLst>
            <a:ext uri="{FF2B5EF4-FFF2-40B4-BE49-F238E27FC236}">
              <a16:creationId xmlns:a16="http://schemas.microsoft.com/office/drawing/2014/main" id="{F9522853-3602-4FFB-BF96-5BDDB091E8FD}"/>
            </a:ext>
          </a:extLst>
        </xdr:cNvPr>
        <xdr:cNvPicPr>
          <a:picLocks noChangeAspect="1"/>
        </xdr:cNvPicPr>
      </xdr:nvPicPr>
      <xdr:blipFill>
        <a:blip xmlns:r="http://schemas.openxmlformats.org/officeDocument/2006/relationships" r:embed="rId1"/>
        <a:stretch>
          <a:fillRect/>
        </a:stretch>
      </xdr:blipFill>
      <xdr:spPr>
        <a:xfrm>
          <a:off x="161925" y="9944100"/>
          <a:ext cx="557848" cy="400050"/>
        </a:xfrm>
        <a:prstGeom prst="rect">
          <a:avLst/>
        </a:prstGeom>
      </xdr:spPr>
    </xdr:pic>
    <xdr:clientData/>
  </xdr:oneCellAnchor>
  <xdr:oneCellAnchor>
    <xdr:from>
      <xdr:col>11</xdr:col>
      <xdr:colOff>219075</xdr:colOff>
      <xdr:row>30</xdr:row>
      <xdr:rowOff>114300</xdr:rowOff>
    </xdr:from>
    <xdr:ext cx="581025" cy="314325"/>
    <xdr:pic>
      <xdr:nvPicPr>
        <xdr:cNvPr id="5" name="Imagem 4" descr="AGEVAP.png">
          <a:extLst>
            <a:ext uri="{FF2B5EF4-FFF2-40B4-BE49-F238E27FC236}">
              <a16:creationId xmlns:a16="http://schemas.microsoft.com/office/drawing/2014/main" id="{FB507486-78EF-4863-9AFB-C559D9B7F946}"/>
            </a:ext>
          </a:extLst>
        </xdr:cNvPr>
        <xdr:cNvPicPr>
          <a:picLocks noChangeAspect="1"/>
        </xdr:cNvPicPr>
      </xdr:nvPicPr>
      <xdr:blipFill>
        <a:blip xmlns:r="http://schemas.openxmlformats.org/officeDocument/2006/relationships" r:embed="rId2" cstate="print"/>
        <a:stretch>
          <a:fillRect/>
        </a:stretch>
      </xdr:blipFill>
      <xdr:spPr>
        <a:xfrm>
          <a:off x="6038850" y="9991725"/>
          <a:ext cx="581025" cy="3143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0</xdr:col>
      <xdr:colOff>624523</xdr:colOff>
      <xdr:row>0</xdr:row>
      <xdr:rowOff>447675</xdr:rowOff>
    </xdr:to>
    <xdr:pic>
      <xdr:nvPicPr>
        <xdr:cNvPr id="6" name="Imagem 5">
          <a:extLst>
            <a:ext uri="{FF2B5EF4-FFF2-40B4-BE49-F238E27FC236}">
              <a16:creationId xmlns:a16="http://schemas.microsoft.com/office/drawing/2014/main" id="{A8791C1F-6053-4536-971B-86EEA5861DC8}"/>
            </a:ext>
          </a:extLst>
        </xdr:cNvPr>
        <xdr:cNvPicPr>
          <a:picLocks noChangeAspect="1"/>
        </xdr:cNvPicPr>
      </xdr:nvPicPr>
      <xdr:blipFill>
        <a:blip xmlns:r="http://schemas.openxmlformats.org/officeDocument/2006/relationships" r:embed="rId1"/>
        <a:stretch>
          <a:fillRect/>
        </a:stretch>
      </xdr:blipFill>
      <xdr:spPr>
        <a:xfrm>
          <a:off x="66675" y="47625"/>
          <a:ext cx="557848" cy="400050"/>
        </a:xfrm>
        <a:prstGeom prst="rect">
          <a:avLst/>
        </a:prstGeom>
      </xdr:spPr>
    </xdr:pic>
    <xdr:clientData/>
  </xdr:twoCellAnchor>
  <xdr:twoCellAnchor editAs="oneCell">
    <xdr:from>
      <xdr:col>5</xdr:col>
      <xdr:colOff>152400</xdr:colOff>
      <xdr:row>0</xdr:row>
      <xdr:rowOff>76200</xdr:rowOff>
    </xdr:from>
    <xdr:to>
      <xdr:col>5</xdr:col>
      <xdr:colOff>733425</xdr:colOff>
      <xdr:row>0</xdr:row>
      <xdr:rowOff>390525</xdr:rowOff>
    </xdr:to>
    <xdr:pic>
      <xdr:nvPicPr>
        <xdr:cNvPr id="7" name="Imagem 6" descr="AGEVAP.png">
          <a:extLst>
            <a:ext uri="{FF2B5EF4-FFF2-40B4-BE49-F238E27FC236}">
              <a16:creationId xmlns:a16="http://schemas.microsoft.com/office/drawing/2014/main" id="{5E76478B-E13A-41F1-BCB6-1A0531F5B35E}"/>
            </a:ext>
          </a:extLst>
        </xdr:cNvPr>
        <xdr:cNvPicPr>
          <a:picLocks noChangeAspect="1"/>
        </xdr:cNvPicPr>
      </xdr:nvPicPr>
      <xdr:blipFill>
        <a:blip xmlns:r="http://schemas.openxmlformats.org/officeDocument/2006/relationships" r:embed="rId2" cstate="print"/>
        <a:stretch>
          <a:fillRect/>
        </a:stretch>
      </xdr:blipFill>
      <xdr:spPr>
        <a:xfrm>
          <a:off x="7839075" y="76200"/>
          <a:ext cx="581025" cy="3143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161925</xdr:colOff>
      <xdr:row>0</xdr:row>
      <xdr:rowOff>66675</xdr:rowOff>
    </xdr:from>
    <xdr:to>
      <xdr:col>0</xdr:col>
      <xdr:colOff>719773</xdr:colOff>
      <xdr:row>0</xdr:row>
      <xdr:rowOff>466725</xdr:rowOff>
    </xdr:to>
    <xdr:pic>
      <xdr:nvPicPr>
        <xdr:cNvPr id="2" name="Imagem 1">
          <a:extLst>
            <a:ext uri="{FF2B5EF4-FFF2-40B4-BE49-F238E27FC236}">
              <a16:creationId xmlns:a16="http://schemas.microsoft.com/office/drawing/2014/main" id="{9366633E-C27A-41C1-BFD3-0CE69F88B781}"/>
            </a:ext>
          </a:extLst>
        </xdr:cNvPr>
        <xdr:cNvPicPr>
          <a:picLocks noChangeAspect="1"/>
        </xdr:cNvPicPr>
      </xdr:nvPicPr>
      <xdr:blipFill>
        <a:blip xmlns:r="http://schemas.openxmlformats.org/officeDocument/2006/relationships" r:embed="rId1"/>
        <a:stretch>
          <a:fillRect/>
        </a:stretch>
      </xdr:blipFill>
      <xdr:spPr>
        <a:xfrm>
          <a:off x="161925" y="66675"/>
          <a:ext cx="557848" cy="400050"/>
        </a:xfrm>
        <a:prstGeom prst="rect">
          <a:avLst/>
        </a:prstGeom>
      </xdr:spPr>
    </xdr:pic>
    <xdr:clientData/>
  </xdr:twoCellAnchor>
  <xdr:twoCellAnchor editAs="oneCell">
    <xdr:from>
      <xdr:col>11</xdr:col>
      <xdr:colOff>257175</xdr:colOff>
      <xdr:row>0</xdr:row>
      <xdr:rowOff>133350</xdr:rowOff>
    </xdr:from>
    <xdr:to>
      <xdr:col>12</xdr:col>
      <xdr:colOff>333375</xdr:colOff>
      <xdr:row>0</xdr:row>
      <xdr:rowOff>447675</xdr:rowOff>
    </xdr:to>
    <xdr:pic>
      <xdr:nvPicPr>
        <xdr:cNvPr id="3" name="Imagem 2" descr="AGEVAP.png">
          <a:extLst>
            <a:ext uri="{FF2B5EF4-FFF2-40B4-BE49-F238E27FC236}">
              <a16:creationId xmlns:a16="http://schemas.microsoft.com/office/drawing/2014/main" id="{6DDC74CF-CA6F-422B-AE68-E7C609CAB02A}"/>
            </a:ext>
          </a:extLst>
        </xdr:cNvPr>
        <xdr:cNvPicPr>
          <a:picLocks noChangeAspect="1"/>
        </xdr:cNvPicPr>
      </xdr:nvPicPr>
      <xdr:blipFill>
        <a:blip xmlns:r="http://schemas.openxmlformats.org/officeDocument/2006/relationships" r:embed="rId2" cstate="print"/>
        <a:stretch>
          <a:fillRect/>
        </a:stretch>
      </xdr:blipFill>
      <xdr:spPr>
        <a:xfrm>
          <a:off x="6076950" y="133350"/>
          <a:ext cx="581025" cy="314325"/>
        </a:xfrm>
        <a:prstGeom prst="rect">
          <a:avLst/>
        </a:prstGeom>
      </xdr:spPr>
    </xdr:pic>
    <xdr:clientData/>
  </xdr:twoCellAnchor>
  <xdr:oneCellAnchor>
    <xdr:from>
      <xdr:col>0</xdr:col>
      <xdr:colOff>161925</xdr:colOff>
      <xdr:row>28</xdr:row>
      <xdr:rowOff>66675</xdr:rowOff>
    </xdr:from>
    <xdr:ext cx="557848" cy="400050"/>
    <xdr:pic>
      <xdr:nvPicPr>
        <xdr:cNvPr id="4" name="Imagem 3">
          <a:extLst>
            <a:ext uri="{FF2B5EF4-FFF2-40B4-BE49-F238E27FC236}">
              <a16:creationId xmlns:a16="http://schemas.microsoft.com/office/drawing/2014/main" id="{FFA8FB08-C037-43F1-A96D-F124B3F2194A}"/>
            </a:ext>
          </a:extLst>
        </xdr:cNvPr>
        <xdr:cNvPicPr>
          <a:picLocks noChangeAspect="1"/>
        </xdr:cNvPicPr>
      </xdr:nvPicPr>
      <xdr:blipFill>
        <a:blip xmlns:r="http://schemas.openxmlformats.org/officeDocument/2006/relationships" r:embed="rId1"/>
        <a:stretch>
          <a:fillRect/>
        </a:stretch>
      </xdr:blipFill>
      <xdr:spPr>
        <a:xfrm>
          <a:off x="161925" y="9944100"/>
          <a:ext cx="557848" cy="400050"/>
        </a:xfrm>
        <a:prstGeom prst="rect">
          <a:avLst/>
        </a:prstGeom>
      </xdr:spPr>
    </xdr:pic>
    <xdr:clientData/>
  </xdr:oneCellAnchor>
  <xdr:oneCellAnchor>
    <xdr:from>
      <xdr:col>11</xdr:col>
      <xdr:colOff>219075</xdr:colOff>
      <xdr:row>28</xdr:row>
      <xdr:rowOff>114300</xdr:rowOff>
    </xdr:from>
    <xdr:ext cx="581025" cy="314325"/>
    <xdr:pic>
      <xdr:nvPicPr>
        <xdr:cNvPr id="5" name="Imagem 4" descr="AGEVAP.png">
          <a:extLst>
            <a:ext uri="{FF2B5EF4-FFF2-40B4-BE49-F238E27FC236}">
              <a16:creationId xmlns:a16="http://schemas.microsoft.com/office/drawing/2014/main" id="{4E0559F3-42FC-4E5A-A7D1-76D1B43109E2}"/>
            </a:ext>
          </a:extLst>
        </xdr:cNvPr>
        <xdr:cNvPicPr>
          <a:picLocks noChangeAspect="1"/>
        </xdr:cNvPicPr>
      </xdr:nvPicPr>
      <xdr:blipFill>
        <a:blip xmlns:r="http://schemas.openxmlformats.org/officeDocument/2006/relationships" r:embed="rId2" cstate="print"/>
        <a:stretch>
          <a:fillRect/>
        </a:stretch>
      </xdr:blipFill>
      <xdr:spPr>
        <a:xfrm>
          <a:off x="6038850" y="9991725"/>
          <a:ext cx="581025" cy="314325"/>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0</xdr:col>
      <xdr:colOff>161925</xdr:colOff>
      <xdr:row>0</xdr:row>
      <xdr:rowOff>66675</xdr:rowOff>
    </xdr:from>
    <xdr:to>
      <xdr:col>0</xdr:col>
      <xdr:colOff>719773</xdr:colOff>
      <xdr:row>0</xdr:row>
      <xdr:rowOff>466725</xdr:rowOff>
    </xdr:to>
    <xdr:pic>
      <xdr:nvPicPr>
        <xdr:cNvPr id="2" name="Imagem 1">
          <a:extLst>
            <a:ext uri="{FF2B5EF4-FFF2-40B4-BE49-F238E27FC236}">
              <a16:creationId xmlns:a16="http://schemas.microsoft.com/office/drawing/2014/main" id="{6BF3458E-39B5-43DB-B427-C237F1ADE18B}"/>
            </a:ext>
          </a:extLst>
        </xdr:cNvPr>
        <xdr:cNvPicPr>
          <a:picLocks noChangeAspect="1"/>
        </xdr:cNvPicPr>
      </xdr:nvPicPr>
      <xdr:blipFill>
        <a:blip xmlns:r="http://schemas.openxmlformats.org/officeDocument/2006/relationships" r:embed="rId1"/>
        <a:stretch>
          <a:fillRect/>
        </a:stretch>
      </xdr:blipFill>
      <xdr:spPr>
        <a:xfrm>
          <a:off x="161925" y="66675"/>
          <a:ext cx="557848" cy="400050"/>
        </a:xfrm>
        <a:prstGeom prst="rect">
          <a:avLst/>
        </a:prstGeom>
      </xdr:spPr>
    </xdr:pic>
    <xdr:clientData/>
  </xdr:twoCellAnchor>
  <xdr:twoCellAnchor editAs="oneCell">
    <xdr:from>
      <xdr:col>11</xdr:col>
      <xdr:colOff>257175</xdr:colOff>
      <xdr:row>0</xdr:row>
      <xdr:rowOff>133350</xdr:rowOff>
    </xdr:from>
    <xdr:to>
      <xdr:col>12</xdr:col>
      <xdr:colOff>333375</xdr:colOff>
      <xdr:row>0</xdr:row>
      <xdr:rowOff>447675</xdr:rowOff>
    </xdr:to>
    <xdr:pic>
      <xdr:nvPicPr>
        <xdr:cNvPr id="3" name="Imagem 2" descr="AGEVAP.png">
          <a:extLst>
            <a:ext uri="{FF2B5EF4-FFF2-40B4-BE49-F238E27FC236}">
              <a16:creationId xmlns:a16="http://schemas.microsoft.com/office/drawing/2014/main" id="{AE1C4B1B-1FEA-4EFC-8149-A08A4F682FD4}"/>
            </a:ext>
          </a:extLst>
        </xdr:cNvPr>
        <xdr:cNvPicPr>
          <a:picLocks noChangeAspect="1"/>
        </xdr:cNvPicPr>
      </xdr:nvPicPr>
      <xdr:blipFill>
        <a:blip xmlns:r="http://schemas.openxmlformats.org/officeDocument/2006/relationships" r:embed="rId2" cstate="print"/>
        <a:stretch>
          <a:fillRect/>
        </a:stretch>
      </xdr:blipFill>
      <xdr:spPr>
        <a:xfrm>
          <a:off x="6076950" y="133350"/>
          <a:ext cx="581025" cy="314325"/>
        </a:xfrm>
        <a:prstGeom prst="rect">
          <a:avLst/>
        </a:prstGeom>
      </xdr:spPr>
    </xdr:pic>
    <xdr:clientData/>
  </xdr:twoCellAnchor>
  <xdr:oneCellAnchor>
    <xdr:from>
      <xdr:col>0</xdr:col>
      <xdr:colOff>161925</xdr:colOff>
      <xdr:row>28</xdr:row>
      <xdr:rowOff>66675</xdr:rowOff>
    </xdr:from>
    <xdr:ext cx="557848" cy="400050"/>
    <xdr:pic>
      <xdr:nvPicPr>
        <xdr:cNvPr id="4" name="Imagem 3">
          <a:extLst>
            <a:ext uri="{FF2B5EF4-FFF2-40B4-BE49-F238E27FC236}">
              <a16:creationId xmlns:a16="http://schemas.microsoft.com/office/drawing/2014/main" id="{6BDB07D7-83C5-4DF6-ADFC-6A468B0FA842}"/>
            </a:ext>
          </a:extLst>
        </xdr:cNvPr>
        <xdr:cNvPicPr>
          <a:picLocks noChangeAspect="1"/>
        </xdr:cNvPicPr>
      </xdr:nvPicPr>
      <xdr:blipFill>
        <a:blip xmlns:r="http://schemas.openxmlformats.org/officeDocument/2006/relationships" r:embed="rId1"/>
        <a:stretch>
          <a:fillRect/>
        </a:stretch>
      </xdr:blipFill>
      <xdr:spPr>
        <a:xfrm>
          <a:off x="161925" y="10182225"/>
          <a:ext cx="557848" cy="400050"/>
        </a:xfrm>
        <a:prstGeom prst="rect">
          <a:avLst/>
        </a:prstGeom>
      </xdr:spPr>
    </xdr:pic>
    <xdr:clientData/>
  </xdr:oneCellAnchor>
  <xdr:oneCellAnchor>
    <xdr:from>
      <xdr:col>11</xdr:col>
      <xdr:colOff>219075</xdr:colOff>
      <xdr:row>28</xdr:row>
      <xdr:rowOff>114300</xdr:rowOff>
    </xdr:from>
    <xdr:ext cx="581025" cy="314325"/>
    <xdr:pic>
      <xdr:nvPicPr>
        <xdr:cNvPr id="5" name="Imagem 4" descr="AGEVAP.png">
          <a:extLst>
            <a:ext uri="{FF2B5EF4-FFF2-40B4-BE49-F238E27FC236}">
              <a16:creationId xmlns:a16="http://schemas.microsoft.com/office/drawing/2014/main" id="{8EF2E3A0-FEB3-4792-8E55-DB48BEADE578}"/>
            </a:ext>
          </a:extLst>
        </xdr:cNvPr>
        <xdr:cNvPicPr>
          <a:picLocks noChangeAspect="1"/>
        </xdr:cNvPicPr>
      </xdr:nvPicPr>
      <xdr:blipFill>
        <a:blip xmlns:r="http://schemas.openxmlformats.org/officeDocument/2006/relationships" r:embed="rId2" cstate="print"/>
        <a:stretch>
          <a:fillRect/>
        </a:stretch>
      </xdr:blipFill>
      <xdr:spPr>
        <a:xfrm>
          <a:off x="6038850" y="10229850"/>
          <a:ext cx="581025" cy="314325"/>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161925</xdr:colOff>
      <xdr:row>0</xdr:row>
      <xdr:rowOff>66675</xdr:rowOff>
    </xdr:from>
    <xdr:to>
      <xdr:col>0</xdr:col>
      <xdr:colOff>719773</xdr:colOff>
      <xdr:row>0</xdr:row>
      <xdr:rowOff>466725</xdr:rowOff>
    </xdr:to>
    <xdr:pic>
      <xdr:nvPicPr>
        <xdr:cNvPr id="2" name="Imagem 1">
          <a:extLst>
            <a:ext uri="{FF2B5EF4-FFF2-40B4-BE49-F238E27FC236}">
              <a16:creationId xmlns:a16="http://schemas.microsoft.com/office/drawing/2014/main" id="{C64E4AEF-D0F1-453F-B987-714A1F10E617}"/>
            </a:ext>
          </a:extLst>
        </xdr:cNvPr>
        <xdr:cNvPicPr>
          <a:picLocks noChangeAspect="1"/>
        </xdr:cNvPicPr>
      </xdr:nvPicPr>
      <xdr:blipFill>
        <a:blip xmlns:r="http://schemas.openxmlformats.org/officeDocument/2006/relationships" r:embed="rId1"/>
        <a:stretch>
          <a:fillRect/>
        </a:stretch>
      </xdr:blipFill>
      <xdr:spPr>
        <a:xfrm>
          <a:off x="161925" y="66675"/>
          <a:ext cx="557848" cy="400050"/>
        </a:xfrm>
        <a:prstGeom prst="rect">
          <a:avLst/>
        </a:prstGeom>
      </xdr:spPr>
    </xdr:pic>
    <xdr:clientData/>
  </xdr:twoCellAnchor>
  <xdr:twoCellAnchor editAs="oneCell">
    <xdr:from>
      <xdr:col>11</xdr:col>
      <xdr:colOff>257175</xdr:colOff>
      <xdr:row>0</xdr:row>
      <xdr:rowOff>133350</xdr:rowOff>
    </xdr:from>
    <xdr:to>
      <xdr:col>12</xdr:col>
      <xdr:colOff>333375</xdr:colOff>
      <xdr:row>0</xdr:row>
      <xdr:rowOff>447675</xdr:rowOff>
    </xdr:to>
    <xdr:pic>
      <xdr:nvPicPr>
        <xdr:cNvPr id="3" name="Imagem 2" descr="AGEVAP.png">
          <a:extLst>
            <a:ext uri="{FF2B5EF4-FFF2-40B4-BE49-F238E27FC236}">
              <a16:creationId xmlns:a16="http://schemas.microsoft.com/office/drawing/2014/main" id="{71637F7B-591E-499A-8A77-E5A0AE2BB38E}"/>
            </a:ext>
          </a:extLst>
        </xdr:cNvPr>
        <xdr:cNvPicPr>
          <a:picLocks noChangeAspect="1"/>
        </xdr:cNvPicPr>
      </xdr:nvPicPr>
      <xdr:blipFill>
        <a:blip xmlns:r="http://schemas.openxmlformats.org/officeDocument/2006/relationships" r:embed="rId2" cstate="print"/>
        <a:stretch>
          <a:fillRect/>
        </a:stretch>
      </xdr:blipFill>
      <xdr:spPr>
        <a:xfrm>
          <a:off x="6076950" y="133350"/>
          <a:ext cx="581025" cy="314325"/>
        </a:xfrm>
        <a:prstGeom prst="rect">
          <a:avLst/>
        </a:prstGeom>
      </xdr:spPr>
    </xdr:pic>
    <xdr:clientData/>
  </xdr:twoCellAnchor>
  <xdr:oneCellAnchor>
    <xdr:from>
      <xdr:col>0</xdr:col>
      <xdr:colOff>161925</xdr:colOff>
      <xdr:row>28</xdr:row>
      <xdr:rowOff>66675</xdr:rowOff>
    </xdr:from>
    <xdr:ext cx="557848" cy="400050"/>
    <xdr:pic>
      <xdr:nvPicPr>
        <xdr:cNvPr id="4" name="Imagem 3">
          <a:extLst>
            <a:ext uri="{FF2B5EF4-FFF2-40B4-BE49-F238E27FC236}">
              <a16:creationId xmlns:a16="http://schemas.microsoft.com/office/drawing/2014/main" id="{0E3095B9-8100-4559-904E-F3057F623C73}"/>
            </a:ext>
          </a:extLst>
        </xdr:cNvPr>
        <xdr:cNvPicPr>
          <a:picLocks noChangeAspect="1"/>
        </xdr:cNvPicPr>
      </xdr:nvPicPr>
      <xdr:blipFill>
        <a:blip xmlns:r="http://schemas.openxmlformats.org/officeDocument/2006/relationships" r:embed="rId1"/>
        <a:stretch>
          <a:fillRect/>
        </a:stretch>
      </xdr:blipFill>
      <xdr:spPr>
        <a:xfrm>
          <a:off x="161925" y="10077450"/>
          <a:ext cx="557848" cy="400050"/>
        </a:xfrm>
        <a:prstGeom prst="rect">
          <a:avLst/>
        </a:prstGeom>
      </xdr:spPr>
    </xdr:pic>
    <xdr:clientData/>
  </xdr:oneCellAnchor>
  <xdr:oneCellAnchor>
    <xdr:from>
      <xdr:col>11</xdr:col>
      <xdr:colOff>219075</xdr:colOff>
      <xdr:row>28</xdr:row>
      <xdr:rowOff>114300</xdr:rowOff>
    </xdr:from>
    <xdr:ext cx="581025" cy="314325"/>
    <xdr:pic>
      <xdr:nvPicPr>
        <xdr:cNvPr id="5" name="Imagem 4" descr="AGEVAP.png">
          <a:extLst>
            <a:ext uri="{FF2B5EF4-FFF2-40B4-BE49-F238E27FC236}">
              <a16:creationId xmlns:a16="http://schemas.microsoft.com/office/drawing/2014/main" id="{288897E7-9C08-4456-BEBE-9050E354195F}"/>
            </a:ext>
          </a:extLst>
        </xdr:cNvPr>
        <xdr:cNvPicPr>
          <a:picLocks noChangeAspect="1"/>
        </xdr:cNvPicPr>
      </xdr:nvPicPr>
      <xdr:blipFill>
        <a:blip xmlns:r="http://schemas.openxmlformats.org/officeDocument/2006/relationships" r:embed="rId2" cstate="print"/>
        <a:stretch>
          <a:fillRect/>
        </a:stretch>
      </xdr:blipFill>
      <xdr:spPr>
        <a:xfrm>
          <a:off x="6038850" y="10125075"/>
          <a:ext cx="581025" cy="314325"/>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161925</xdr:colOff>
      <xdr:row>0</xdr:row>
      <xdr:rowOff>66675</xdr:rowOff>
    </xdr:from>
    <xdr:to>
      <xdr:col>0</xdr:col>
      <xdr:colOff>719773</xdr:colOff>
      <xdr:row>0</xdr:row>
      <xdr:rowOff>466725</xdr:rowOff>
    </xdr:to>
    <xdr:pic>
      <xdr:nvPicPr>
        <xdr:cNvPr id="2" name="Imagem 1">
          <a:extLst>
            <a:ext uri="{FF2B5EF4-FFF2-40B4-BE49-F238E27FC236}">
              <a16:creationId xmlns:a16="http://schemas.microsoft.com/office/drawing/2014/main" id="{57874001-4E07-4337-AE67-681E41926439}"/>
            </a:ext>
          </a:extLst>
        </xdr:cNvPr>
        <xdr:cNvPicPr>
          <a:picLocks noChangeAspect="1"/>
        </xdr:cNvPicPr>
      </xdr:nvPicPr>
      <xdr:blipFill>
        <a:blip xmlns:r="http://schemas.openxmlformats.org/officeDocument/2006/relationships" r:embed="rId1"/>
        <a:stretch>
          <a:fillRect/>
        </a:stretch>
      </xdr:blipFill>
      <xdr:spPr>
        <a:xfrm>
          <a:off x="161925" y="66675"/>
          <a:ext cx="557848" cy="400050"/>
        </a:xfrm>
        <a:prstGeom prst="rect">
          <a:avLst/>
        </a:prstGeom>
      </xdr:spPr>
    </xdr:pic>
    <xdr:clientData/>
  </xdr:twoCellAnchor>
  <xdr:twoCellAnchor editAs="oneCell">
    <xdr:from>
      <xdr:col>11</xdr:col>
      <xdr:colOff>257175</xdr:colOff>
      <xdr:row>0</xdr:row>
      <xdr:rowOff>133350</xdr:rowOff>
    </xdr:from>
    <xdr:to>
      <xdr:col>12</xdr:col>
      <xdr:colOff>333375</xdr:colOff>
      <xdr:row>0</xdr:row>
      <xdr:rowOff>447675</xdr:rowOff>
    </xdr:to>
    <xdr:pic>
      <xdr:nvPicPr>
        <xdr:cNvPr id="3" name="Imagem 2" descr="AGEVAP.png">
          <a:extLst>
            <a:ext uri="{FF2B5EF4-FFF2-40B4-BE49-F238E27FC236}">
              <a16:creationId xmlns:a16="http://schemas.microsoft.com/office/drawing/2014/main" id="{133AEFEA-B194-430D-A511-FCD2F010597A}"/>
            </a:ext>
          </a:extLst>
        </xdr:cNvPr>
        <xdr:cNvPicPr>
          <a:picLocks noChangeAspect="1"/>
        </xdr:cNvPicPr>
      </xdr:nvPicPr>
      <xdr:blipFill>
        <a:blip xmlns:r="http://schemas.openxmlformats.org/officeDocument/2006/relationships" r:embed="rId2" cstate="print"/>
        <a:stretch>
          <a:fillRect/>
        </a:stretch>
      </xdr:blipFill>
      <xdr:spPr>
        <a:xfrm>
          <a:off x="6076950" y="133350"/>
          <a:ext cx="581025" cy="314325"/>
        </a:xfrm>
        <a:prstGeom prst="rect">
          <a:avLst/>
        </a:prstGeom>
      </xdr:spPr>
    </xdr:pic>
    <xdr:clientData/>
  </xdr:twoCellAnchor>
  <xdr:oneCellAnchor>
    <xdr:from>
      <xdr:col>0</xdr:col>
      <xdr:colOff>161925</xdr:colOff>
      <xdr:row>28</xdr:row>
      <xdr:rowOff>66675</xdr:rowOff>
    </xdr:from>
    <xdr:ext cx="557848" cy="400050"/>
    <xdr:pic>
      <xdr:nvPicPr>
        <xdr:cNvPr id="4" name="Imagem 3">
          <a:extLst>
            <a:ext uri="{FF2B5EF4-FFF2-40B4-BE49-F238E27FC236}">
              <a16:creationId xmlns:a16="http://schemas.microsoft.com/office/drawing/2014/main" id="{283210A6-0F9D-4D1E-8F94-78C8C3FFF523}"/>
            </a:ext>
          </a:extLst>
        </xdr:cNvPr>
        <xdr:cNvPicPr>
          <a:picLocks noChangeAspect="1"/>
        </xdr:cNvPicPr>
      </xdr:nvPicPr>
      <xdr:blipFill>
        <a:blip xmlns:r="http://schemas.openxmlformats.org/officeDocument/2006/relationships" r:embed="rId1"/>
        <a:stretch>
          <a:fillRect/>
        </a:stretch>
      </xdr:blipFill>
      <xdr:spPr>
        <a:xfrm>
          <a:off x="161925" y="10077450"/>
          <a:ext cx="557848" cy="400050"/>
        </a:xfrm>
        <a:prstGeom prst="rect">
          <a:avLst/>
        </a:prstGeom>
      </xdr:spPr>
    </xdr:pic>
    <xdr:clientData/>
  </xdr:oneCellAnchor>
  <xdr:oneCellAnchor>
    <xdr:from>
      <xdr:col>11</xdr:col>
      <xdr:colOff>219075</xdr:colOff>
      <xdr:row>28</xdr:row>
      <xdr:rowOff>114300</xdr:rowOff>
    </xdr:from>
    <xdr:ext cx="581025" cy="314325"/>
    <xdr:pic>
      <xdr:nvPicPr>
        <xdr:cNvPr id="5" name="Imagem 4" descr="AGEVAP.png">
          <a:extLst>
            <a:ext uri="{FF2B5EF4-FFF2-40B4-BE49-F238E27FC236}">
              <a16:creationId xmlns:a16="http://schemas.microsoft.com/office/drawing/2014/main" id="{E48F74B2-EA24-418B-AA10-0FEFF69BB793}"/>
            </a:ext>
          </a:extLst>
        </xdr:cNvPr>
        <xdr:cNvPicPr>
          <a:picLocks noChangeAspect="1"/>
        </xdr:cNvPicPr>
      </xdr:nvPicPr>
      <xdr:blipFill>
        <a:blip xmlns:r="http://schemas.openxmlformats.org/officeDocument/2006/relationships" r:embed="rId2" cstate="print"/>
        <a:stretch>
          <a:fillRect/>
        </a:stretch>
      </xdr:blipFill>
      <xdr:spPr>
        <a:xfrm>
          <a:off x="6038850" y="10125075"/>
          <a:ext cx="581025" cy="314325"/>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editAs="oneCell">
    <xdr:from>
      <xdr:col>0</xdr:col>
      <xdr:colOff>161925</xdr:colOff>
      <xdr:row>0</xdr:row>
      <xdr:rowOff>66675</xdr:rowOff>
    </xdr:from>
    <xdr:to>
      <xdr:col>0</xdr:col>
      <xdr:colOff>719773</xdr:colOff>
      <xdr:row>0</xdr:row>
      <xdr:rowOff>466725</xdr:rowOff>
    </xdr:to>
    <xdr:pic>
      <xdr:nvPicPr>
        <xdr:cNvPr id="2" name="Imagem 1">
          <a:extLst>
            <a:ext uri="{FF2B5EF4-FFF2-40B4-BE49-F238E27FC236}">
              <a16:creationId xmlns:a16="http://schemas.microsoft.com/office/drawing/2014/main" id="{E68F8F08-0AA9-467F-B388-EC2122515333}"/>
            </a:ext>
          </a:extLst>
        </xdr:cNvPr>
        <xdr:cNvPicPr>
          <a:picLocks noChangeAspect="1"/>
        </xdr:cNvPicPr>
      </xdr:nvPicPr>
      <xdr:blipFill>
        <a:blip xmlns:r="http://schemas.openxmlformats.org/officeDocument/2006/relationships" r:embed="rId1"/>
        <a:stretch>
          <a:fillRect/>
        </a:stretch>
      </xdr:blipFill>
      <xdr:spPr>
        <a:xfrm>
          <a:off x="161925" y="66675"/>
          <a:ext cx="557848" cy="400050"/>
        </a:xfrm>
        <a:prstGeom prst="rect">
          <a:avLst/>
        </a:prstGeom>
      </xdr:spPr>
    </xdr:pic>
    <xdr:clientData/>
  </xdr:twoCellAnchor>
  <xdr:twoCellAnchor editAs="oneCell">
    <xdr:from>
      <xdr:col>11</xdr:col>
      <xdr:colOff>257175</xdr:colOff>
      <xdr:row>0</xdr:row>
      <xdr:rowOff>133350</xdr:rowOff>
    </xdr:from>
    <xdr:to>
      <xdr:col>12</xdr:col>
      <xdr:colOff>333375</xdr:colOff>
      <xdr:row>0</xdr:row>
      <xdr:rowOff>447675</xdr:rowOff>
    </xdr:to>
    <xdr:pic>
      <xdr:nvPicPr>
        <xdr:cNvPr id="3" name="Imagem 2" descr="AGEVAP.png">
          <a:extLst>
            <a:ext uri="{FF2B5EF4-FFF2-40B4-BE49-F238E27FC236}">
              <a16:creationId xmlns:a16="http://schemas.microsoft.com/office/drawing/2014/main" id="{BE004DFF-8496-4A88-9A30-B89EB54F2B8E}"/>
            </a:ext>
          </a:extLst>
        </xdr:cNvPr>
        <xdr:cNvPicPr>
          <a:picLocks noChangeAspect="1"/>
        </xdr:cNvPicPr>
      </xdr:nvPicPr>
      <xdr:blipFill>
        <a:blip xmlns:r="http://schemas.openxmlformats.org/officeDocument/2006/relationships" r:embed="rId2" cstate="print"/>
        <a:stretch>
          <a:fillRect/>
        </a:stretch>
      </xdr:blipFill>
      <xdr:spPr>
        <a:xfrm>
          <a:off x="6076950" y="133350"/>
          <a:ext cx="581025" cy="314325"/>
        </a:xfrm>
        <a:prstGeom prst="rect">
          <a:avLst/>
        </a:prstGeom>
      </xdr:spPr>
    </xdr:pic>
    <xdr:clientData/>
  </xdr:twoCellAnchor>
  <xdr:oneCellAnchor>
    <xdr:from>
      <xdr:col>0</xdr:col>
      <xdr:colOff>161925</xdr:colOff>
      <xdr:row>30</xdr:row>
      <xdr:rowOff>66675</xdr:rowOff>
    </xdr:from>
    <xdr:ext cx="557848" cy="400050"/>
    <xdr:pic>
      <xdr:nvPicPr>
        <xdr:cNvPr id="4" name="Imagem 3">
          <a:extLst>
            <a:ext uri="{FF2B5EF4-FFF2-40B4-BE49-F238E27FC236}">
              <a16:creationId xmlns:a16="http://schemas.microsoft.com/office/drawing/2014/main" id="{C1DF605E-B1E8-472B-9420-926434AF41AF}"/>
            </a:ext>
          </a:extLst>
        </xdr:cNvPr>
        <xdr:cNvPicPr>
          <a:picLocks noChangeAspect="1"/>
        </xdr:cNvPicPr>
      </xdr:nvPicPr>
      <xdr:blipFill>
        <a:blip xmlns:r="http://schemas.openxmlformats.org/officeDocument/2006/relationships" r:embed="rId1"/>
        <a:stretch>
          <a:fillRect/>
        </a:stretch>
      </xdr:blipFill>
      <xdr:spPr>
        <a:xfrm>
          <a:off x="161925" y="9944100"/>
          <a:ext cx="557848" cy="400050"/>
        </a:xfrm>
        <a:prstGeom prst="rect">
          <a:avLst/>
        </a:prstGeom>
      </xdr:spPr>
    </xdr:pic>
    <xdr:clientData/>
  </xdr:oneCellAnchor>
  <xdr:oneCellAnchor>
    <xdr:from>
      <xdr:col>11</xdr:col>
      <xdr:colOff>219075</xdr:colOff>
      <xdr:row>30</xdr:row>
      <xdr:rowOff>114300</xdr:rowOff>
    </xdr:from>
    <xdr:ext cx="581025" cy="314325"/>
    <xdr:pic>
      <xdr:nvPicPr>
        <xdr:cNvPr id="5" name="Imagem 4" descr="AGEVAP.png">
          <a:extLst>
            <a:ext uri="{FF2B5EF4-FFF2-40B4-BE49-F238E27FC236}">
              <a16:creationId xmlns:a16="http://schemas.microsoft.com/office/drawing/2014/main" id="{E54EB74E-D50B-4F3D-856C-F1D1E7119A9B}"/>
            </a:ext>
          </a:extLst>
        </xdr:cNvPr>
        <xdr:cNvPicPr>
          <a:picLocks noChangeAspect="1"/>
        </xdr:cNvPicPr>
      </xdr:nvPicPr>
      <xdr:blipFill>
        <a:blip xmlns:r="http://schemas.openxmlformats.org/officeDocument/2006/relationships" r:embed="rId2" cstate="print"/>
        <a:stretch>
          <a:fillRect/>
        </a:stretch>
      </xdr:blipFill>
      <xdr:spPr>
        <a:xfrm>
          <a:off x="6038850" y="9991725"/>
          <a:ext cx="581025" cy="314325"/>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161925</xdr:colOff>
      <xdr:row>0</xdr:row>
      <xdr:rowOff>66675</xdr:rowOff>
    </xdr:from>
    <xdr:to>
      <xdr:col>0</xdr:col>
      <xdr:colOff>719773</xdr:colOff>
      <xdr:row>0</xdr:row>
      <xdr:rowOff>466725</xdr:rowOff>
    </xdr:to>
    <xdr:pic>
      <xdr:nvPicPr>
        <xdr:cNvPr id="2" name="Imagem 1">
          <a:extLst>
            <a:ext uri="{FF2B5EF4-FFF2-40B4-BE49-F238E27FC236}">
              <a16:creationId xmlns:a16="http://schemas.microsoft.com/office/drawing/2014/main" id="{D481B146-09B2-4B88-87C1-1416156806D2}"/>
            </a:ext>
          </a:extLst>
        </xdr:cNvPr>
        <xdr:cNvPicPr>
          <a:picLocks noChangeAspect="1"/>
        </xdr:cNvPicPr>
      </xdr:nvPicPr>
      <xdr:blipFill>
        <a:blip xmlns:r="http://schemas.openxmlformats.org/officeDocument/2006/relationships" r:embed="rId1"/>
        <a:stretch>
          <a:fillRect/>
        </a:stretch>
      </xdr:blipFill>
      <xdr:spPr>
        <a:xfrm>
          <a:off x="161925" y="66675"/>
          <a:ext cx="557848" cy="400050"/>
        </a:xfrm>
        <a:prstGeom prst="rect">
          <a:avLst/>
        </a:prstGeom>
      </xdr:spPr>
    </xdr:pic>
    <xdr:clientData/>
  </xdr:twoCellAnchor>
  <xdr:twoCellAnchor editAs="oneCell">
    <xdr:from>
      <xdr:col>11</xdr:col>
      <xdr:colOff>257175</xdr:colOff>
      <xdr:row>0</xdr:row>
      <xdr:rowOff>133350</xdr:rowOff>
    </xdr:from>
    <xdr:to>
      <xdr:col>12</xdr:col>
      <xdr:colOff>371475</xdr:colOff>
      <xdr:row>0</xdr:row>
      <xdr:rowOff>447675</xdr:rowOff>
    </xdr:to>
    <xdr:pic>
      <xdr:nvPicPr>
        <xdr:cNvPr id="3" name="Imagem 2" descr="AGEVAP.png">
          <a:extLst>
            <a:ext uri="{FF2B5EF4-FFF2-40B4-BE49-F238E27FC236}">
              <a16:creationId xmlns:a16="http://schemas.microsoft.com/office/drawing/2014/main" id="{63301EEF-4AA6-4EAF-AAB4-04545F3CA9DD}"/>
            </a:ext>
          </a:extLst>
        </xdr:cNvPr>
        <xdr:cNvPicPr>
          <a:picLocks noChangeAspect="1"/>
        </xdr:cNvPicPr>
      </xdr:nvPicPr>
      <xdr:blipFill>
        <a:blip xmlns:r="http://schemas.openxmlformats.org/officeDocument/2006/relationships" r:embed="rId2" cstate="print"/>
        <a:stretch>
          <a:fillRect/>
        </a:stretch>
      </xdr:blipFill>
      <xdr:spPr>
        <a:xfrm>
          <a:off x="5676900" y="133350"/>
          <a:ext cx="581025" cy="314325"/>
        </a:xfrm>
        <a:prstGeom prst="rect">
          <a:avLst/>
        </a:prstGeom>
      </xdr:spPr>
    </xdr:pic>
    <xdr:clientData/>
  </xdr:twoCellAnchor>
  <xdr:oneCellAnchor>
    <xdr:from>
      <xdr:col>0</xdr:col>
      <xdr:colOff>161925</xdr:colOff>
      <xdr:row>29</xdr:row>
      <xdr:rowOff>66675</xdr:rowOff>
    </xdr:from>
    <xdr:ext cx="557848" cy="400050"/>
    <xdr:pic>
      <xdr:nvPicPr>
        <xdr:cNvPr id="4" name="Imagem 3">
          <a:extLst>
            <a:ext uri="{FF2B5EF4-FFF2-40B4-BE49-F238E27FC236}">
              <a16:creationId xmlns:a16="http://schemas.microsoft.com/office/drawing/2014/main" id="{135335AC-ECFC-47AD-850D-8F33D397D592}"/>
            </a:ext>
          </a:extLst>
        </xdr:cNvPr>
        <xdr:cNvPicPr>
          <a:picLocks noChangeAspect="1"/>
        </xdr:cNvPicPr>
      </xdr:nvPicPr>
      <xdr:blipFill>
        <a:blip xmlns:r="http://schemas.openxmlformats.org/officeDocument/2006/relationships" r:embed="rId1"/>
        <a:stretch>
          <a:fillRect/>
        </a:stretch>
      </xdr:blipFill>
      <xdr:spPr>
        <a:xfrm>
          <a:off x="161925" y="9505950"/>
          <a:ext cx="557848" cy="400050"/>
        </a:xfrm>
        <a:prstGeom prst="rect">
          <a:avLst/>
        </a:prstGeom>
      </xdr:spPr>
    </xdr:pic>
    <xdr:clientData/>
  </xdr:oneCellAnchor>
  <xdr:oneCellAnchor>
    <xdr:from>
      <xdr:col>11</xdr:col>
      <xdr:colOff>219075</xdr:colOff>
      <xdr:row>29</xdr:row>
      <xdr:rowOff>114300</xdr:rowOff>
    </xdr:from>
    <xdr:ext cx="581025" cy="314325"/>
    <xdr:pic>
      <xdr:nvPicPr>
        <xdr:cNvPr id="5" name="Imagem 4" descr="AGEVAP.png">
          <a:extLst>
            <a:ext uri="{FF2B5EF4-FFF2-40B4-BE49-F238E27FC236}">
              <a16:creationId xmlns:a16="http://schemas.microsoft.com/office/drawing/2014/main" id="{457A13B1-C67E-4C02-BE70-908DCB151A45}"/>
            </a:ext>
          </a:extLst>
        </xdr:cNvPr>
        <xdr:cNvPicPr>
          <a:picLocks noChangeAspect="1"/>
        </xdr:cNvPicPr>
      </xdr:nvPicPr>
      <xdr:blipFill>
        <a:blip xmlns:r="http://schemas.openxmlformats.org/officeDocument/2006/relationships" r:embed="rId2" cstate="print"/>
        <a:stretch>
          <a:fillRect/>
        </a:stretch>
      </xdr:blipFill>
      <xdr:spPr>
        <a:xfrm>
          <a:off x="5638800" y="9553575"/>
          <a:ext cx="581025" cy="314325"/>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twoCellAnchor editAs="oneCell">
    <xdr:from>
      <xdr:col>5</xdr:col>
      <xdr:colOff>552450</xdr:colOff>
      <xdr:row>4</xdr:row>
      <xdr:rowOff>77066</xdr:rowOff>
    </xdr:from>
    <xdr:to>
      <xdr:col>8</xdr:col>
      <xdr:colOff>20222</xdr:colOff>
      <xdr:row>9</xdr:row>
      <xdr:rowOff>142875</xdr:rowOff>
    </xdr:to>
    <xdr:pic>
      <xdr:nvPicPr>
        <xdr:cNvPr id="2" name="Imagem 1">
          <a:extLst>
            <a:ext uri="{FF2B5EF4-FFF2-40B4-BE49-F238E27FC236}">
              <a16:creationId xmlns:a16="http://schemas.microsoft.com/office/drawing/2014/main" id="{D897E220-3250-491F-8AF3-10C65CF6ACDF}"/>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4700"/>
                  </a14:imgEffect>
                </a14:imgLayer>
              </a14:imgProps>
            </a:ext>
          </a:extLst>
        </a:blip>
        <a:stretch>
          <a:fillRect/>
        </a:stretch>
      </xdr:blipFill>
      <xdr:spPr>
        <a:xfrm>
          <a:off x="3886200" y="800966"/>
          <a:ext cx="1468022" cy="970684"/>
        </a:xfrm>
        <a:prstGeom prst="rect">
          <a:avLst/>
        </a:prstGeom>
      </xdr:spPr>
    </xdr:pic>
    <xdr:clientData/>
  </xdr:twoCellAnchor>
  <xdr:twoCellAnchor editAs="oneCell">
    <xdr:from>
      <xdr:col>0</xdr:col>
      <xdr:colOff>657225</xdr:colOff>
      <xdr:row>4</xdr:row>
      <xdr:rowOff>9524</xdr:rowOff>
    </xdr:from>
    <xdr:to>
      <xdr:col>3</xdr:col>
      <xdr:colOff>238125</xdr:colOff>
      <xdr:row>10</xdr:row>
      <xdr:rowOff>57565</xdr:rowOff>
    </xdr:to>
    <xdr:pic>
      <xdr:nvPicPr>
        <xdr:cNvPr id="3" name="Imagem 2">
          <a:extLst>
            <a:ext uri="{FF2B5EF4-FFF2-40B4-BE49-F238E27FC236}">
              <a16:creationId xmlns:a16="http://schemas.microsoft.com/office/drawing/2014/main" id="{063B9446-296E-41E7-ABA0-36D8F9D3EDD8}"/>
            </a:ext>
          </a:extLst>
        </xdr:cNvPr>
        <xdr:cNvPicPr>
          <a:picLocks noChangeAspect="1"/>
        </xdr:cNvPicPr>
      </xdr:nvPicPr>
      <xdr:blipFill>
        <a:blip xmlns:r="http://schemas.openxmlformats.org/officeDocument/2006/relationships" r:embed="rId3"/>
        <a:stretch>
          <a:fillRect/>
        </a:stretch>
      </xdr:blipFill>
      <xdr:spPr>
        <a:xfrm>
          <a:off x="657225" y="733424"/>
          <a:ext cx="1581150" cy="11338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62089</xdr:colOff>
      <xdr:row>0</xdr:row>
      <xdr:rowOff>38100</xdr:rowOff>
    </xdr:from>
    <xdr:to>
      <xdr:col>0</xdr:col>
      <xdr:colOff>623112</xdr:colOff>
      <xdr:row>0</xdr:row>
      <xdr:rowOff>495300</xdr:rowOff>
    </xdr:to>
    <xdr:pic>
      <xdr:nvPicPr>
        <xdr:cNvPr id="2" name="Imagem 1">
          <a:extLst>
            <a:ext uri="{FF2B5EF4-FFF2-40B4-BE49-F238E27FC236}">
              <a16:creationId xmlns:a16="http://schemas.microsoft.com/office/drawing/2014/main" id="{FFC394A3-566E-4F0B-B596-6C2429DC04BD}"/>
            </a:ext>
          </a:extLst>
        </xdr:cNvPr>
        <xdr:cNvPicPr>
          <a:picLocks noChangeAspect="1"/>
        </xdr:cNvPicPr>
      </xdr:nvPicPr>
      <xdr:blipFill>
        <a:blip xmlns:r="http://schemas.openxmlformats.org/officeDocument/2006/relationships" r:embed="rId1"/>
        <a:stretch>
          <a:fillRect/>
        </a:stretch>
      </xdr:blipFill>
      <xdr:spPr>
        <a:xfrm>
          <a:off x="62089" y="38100"/>
          <a:ext cx="561023" cy="457200"/>
        </a:xfrm>
        <a:prstGeom prst="rect">
          <a:avLst/>
        </a:prstGeom>
      </xdr:spPr>
    </xdr:pic>
    <xdr:clientData/>
  </xdr:twoCellAnchor>
  <xdr:twoCellAnchor editAs="oneCell">
    <xdr:from>
      <xdr:col>7</xdr:col>
      <xdr:colOff>24342</xdr:colOff>
      <xdr:row>0</xdr:row>
      <xdr:rowOff>109008</xdr:rowOff>
    </xdr:from>
    <xdr:to>
      <xdr:col>7</xdr:col>
      <xdr:colOff>605367</xdr:colOff>
      <xdr:row>0</xdr:row>
      <xdr:rowOff>392331</xdr:rowOff>
    </xdr:to>
    <xdr:pic>
      <xdr:nvPicPr>
        <xdr:cNvPr id="3" name="Imagem 2" descr="AGEVAP.png">
          <a:extLst>
            <a:ext uri="{FF2B5EF4-FFF2-40B4-BE49-F238E27FC236}">
              <a16:creationId xmlns:a16="http://schemas.microsoft.com/office/drawing/2014/main" id="{CED02EFB-1B24-465C-AA0A-89C4894513C7}"/>
            </a:ext>
          </a:extLst>
        </xdr:cNvPr>
        <xdr:cNvPicPr>
          <a:picLocks noChangeAspect="1"/>
        </xdr:cNvPicPr>
      </xdr:nvPicPr>
      <xdr:blipFill>
        <a:blip xmlns:r="http://schemas.openxmlformats.org/officeDocument/2006/relationships" r:embed="rId2" cstate="print"/>
        <a:stretch>
          <a:fillRect/>
        </a:stretch>
      </xdr:blipFill>
      <xdr:spPr>
        <a:xfrm>
          <a:off x="8892117" y="109008"/>
          <a:ext cx="581025" cy="28332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90664</xdr:colOff>
      <xdr:row>0</xdr:row>
      <xdr:rowOff>28575</xdr:rowOff>
    </xdr:from>
    <xdr:to>
      <xdr:col>0</xdr:col>
      <xdr:colOff>651687</xdr:colOff>
      <xdr:row>0</xdr:row>
      <xdr:rowOff>485775</xdr:rowOff>
    </xdr:to>
    <xdr:pic>
      <xdr:nvPicPr>
        <xdr:cNvPr id="2" name="Imagem 1">
          <a:extLst>
            <a:ext uri="{FF2B5EF4-FFF2-40B4-BE49-F238E27FC236}">
              <a16:creationId xmlns:a16="http://schemas.microsoft.com/office/drawing/2014/main" id="{C04BB51A-CE09-4CAC-A40E-CB9A92CDF49A}"/>
            </a:ext>
          </a:extLst>
        </xdr:cNvPr>
        <xdr:cNvPicPr>
          <a:picLocks noChangeAspect="1"/>
        </xdr:cNvPicPr>
      </xdr:nvPicPr>
      <xdr:blipFill>
        <a:blip xmlns:r="http://schemas.openxmlformats.org/officeDocument/2006/relationships" r:embed="rId1"/>
        <a:stretch>
          <a:fillRect/>
        </a:stretch>
      </xdr:blipFill>
      <xdr:spPr>
        <a:xfrm>
          <a:off x="90664" y="28575"/>
          <a:ext cx="561023" cy="457200"/>
        </a:xfrm>
        <a:prstGeom prst="rect">
          <a:avLst/>
        </a:prstGeom>
      </xdr:spPr>
    </xdr:pic>
    <xdr:clientData/>
  </xdr:twoCellAnchor>
  <xdr:twoCellAnchor editAs="oneCell">
    <xdr:from>
      <xdr:col>7</xdr:col>
      <xdr:colOff>24342</xdr:colOff>
      <xdr:row>0</xdr:row>
      <xdr:rowOff>109008</xdr:rowOff>
    </xdr:from>
    <xdr:to>
      <xdr:col>7</xdr:col>
      <xdr:colOff>605367</xdr:colOff>
      <xdr:row>0</xdr:row>
      <xdr:rowOff>392331</xdr:rowOff>
    </xdr:to>
    <xdr:pic>
      <xdr:nvPicPr>
        <xdr:cNvPr id="3" name="Imagem 2" descr="AGEVAP.png">
          <a:extLst>
            <a:ext uri="{FF2B5EF4-FFF2-40B4-BE49-F238E27FC236}">
              <a16:creationId xmlns:a16="http://schemas.microsoft.com/office/drawing/2014/main" id="{62388DCD-4672-44E4-BC44-BEB158612895}"/>
            </a:ext>
          </a:extLst>
        </xdr:cNvPr>
        <xdr:cNvPicPr>
          <a:picLocks noChangeAspect="1"/>
        </xdr:cNvPicPr>
      </xdr:nvPicPr>
      <xdr:blipFill>
        <a:blip xmlns:r="http://schemas.openxmlformats.org/officeDocument/2006/relationships" r:embed="rId2" cstate="print"/>
        <a:stretch>
          <a:fillRect/>
        </a:stretch>
      </xdr:blipFill>
      <xdr:spPr>
        <a:xfrm>
          <a:off x="8863542" y="109008"/>
          <a:ext cx="581025" cy="283323"/>
        </a:xfrm>
        <a:prstGeom prst="rect">
          <a:avLst/>
        </a:prstGeom>
      </xdr:spPr>
    </xdr:pic>
    <xdr:clientData/>
  </xdr:twoCellAnchor>
  <xdr:twoCellAnchor editAs="oneCell">
    <xdr:from>
      <xdr:col>9</xdr:col>
      <xdr:colOff>419100</xdr:colOff>
      <xdr:row>6</xdr:row>
      <xdr:rowOff>161925</xdr:rowOff>
    </xdr:from>
    <xdr:to>
      <xdr:col>15</xdr:col>
      <xdr:colOff>380430</xdr:colOff>
      <xdr:row>10</xdr:row>
      <xdr:rowOff>237992</xdr:rowOff>
    </xdr:to>
    <xdr:pic>
      <xdr:nvPicPr>
        <xdr:cNvPr id="4" name="Imagem 3">
          <a:extLst>
            <a:ext uri="{FF2B5EF4-FFF2-40B4-BE49-F238E27FC236}">
              <a16:creationId xmlns:a16="http://schemas.microsoft.com/office/drawing/2014/main" id="{8778311D-317B-4E3E-9365-39FF506DA611}"/>
            </a:ext>
          </a:extLst>
        </xdr:cNvPr>
        <xdr:cNvPicPr>
          <a:picLocks noChangeAspect="1"/>
        </xdr:cNvPicPr>
      </xdr:nvPicPr>
      <xdr:blipFill>
        <a:blip xmlns:r="http://schemas.openxmlformats.org/officeDocument/2006/relationships" r:embed="rId3"/>
        <a:stretch>
          <a:fillRect/>
        </a:stretch>
      </xdr:blipFill>
      <xdr:spPr>
        <a:xfrm>
          <a:off x="10858500" y="1609725"/>
          <a:ext cx="4561905" cy="106666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62089</xdr:colOff>
      <xdr:row>0</xdr:row>
      <xdr:rowOff>38100</xdr:rowOff>
    </xdr:from>
    <xdr:to>
      <xdr:col>0</xdr:col>
      <xdr:colOff>623112</xdr:colOff>
      <xdr:row>0</xdr:row>
      <xdr:rowOff>495300</xdr:rowOff>
    </xdr:to>
    <xdr:pic>
      <xdr:nvPicPr>
        <xdr:cNvPr id="2" name="Imagem 1">
          <a:extLst>
            <a:ext uri="{FF2B5EF4-FFF2-40B4-BE49-F238E27FC236}">
              <a16:creationId xmlns:a16="http://schemas.microsoft.com/office/drawing/2014/main" id="{92BAB184-497E-40B9-9C87-65263731745B}"/>
            </a:ext>
          </a:extLst>
        </xdr:cNvPr>
        <xdr:cNvPicPr>
          <a:picLocks noChangeAspect="1"/>
        </xdr:cNvPicPr>
      </xdr:nvPicPr>
      <xdr:blipFill>
        <a:blip xmlns:r="http://schemas.openxmlformats.org/officeDocument/2006/relationships" r:embed="rId1"/>
        <a:stretch>
          <a:fillRect/>
        </a:stretch>
      </xdr:blipFill>
      <xdr:spPr>
        <a:xfrm>
          <a:off x="62089" y="38100"/>
          <a:ext cx="561023" cy="457200"/>
        </a:xfrm>
        <a:prstGeom prst="rect">
          <a:avLst/>
        </a:prstGeom>
      </xdr:spPr>
    </xdr:pic>
    <xdr:clientData/>
  </xdr:twoCellAnchor>
  <xdr:twoCellAnchor editAs="oneCell">
    <xdr:from>
      <xdr:col>7</xdr:col>
      <xdr:colOff>24342</xdr:colOff>
      <xdr:row>0</xdr:row>
      <xdr:rowOff>109008</xdr:rowOff>
    </xdr:from>
    <xdr:to>
      <xdr:col>7</xdr:col>
      <xdr:colOff>605367</xdr:colOff>
      <xdr:row>0</xdr:row>
      <xdr:rowOff>392331</xdr:rowOff>
    </xdr:to>
    <xdr:pic>
      <xdr:nvPicPr>
        <xdr:cNvPr id="3" name="Imagem 2" descr="AGEVAP.png">
          <a:extLst>
            <a:ext uri="{FF2B5EF4-FFF2-40B4-BE49-F238E27FC236}">
              <a16:creationId xmlns:a16="http://schemas.microsoft.com/office/drawing/2014/main" id="{C33C8146-0468-44B4-A1BE-8A25B831B167}"/>
            </a:ext>
          </a:extLst>
        </xdr:cNvPr>
        <xdr:cNvPicPr>
          <a:picLocks noChangeAspect="1"/>
        </xdr:cNvPicPr>
      </xdr:nvPicPr>
      <xdr:blipFill>
        <a:blip xmlns:r="http://schemas.openxmlformats.org/officeDocument/2006/relationships" r:embed="rId2" cstate="print"/>
        <a:stretch>
          <a:fillRect/>
        </a:stretch>
      </xdr:blipFill>
      <xdr:spPr>
        <a:xfrm>
          <a:off x="8863542" y="109008"/>
          <a:ext cx="581025" cy="2833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57150</xdr:rowOff>
    </xdr:from>
    <xdr:to>
      <xdr:col>0</xdr:col>
      <xdr:colOff>643573</xdr:colOff>
      <xdr:row>0</xdr:row>
      <xdr:rowOff>457200</xdr:rowOff>
    </xdr:to>
    <xdr:pic>
      <xdr:nvPicPr>
        <xdr:cNvPr id="2" name="Imagem 1">
          <a:extLst>
            <a:ext uri="{FF2B5EF4-FFF2-40B4-BE49-F238E27FC236}">
              <a16:creationId xmlns:a16="http://schemas.microsoft.com/office/drawing/2014/main" id="{5D74826E-E9D4-45F7-AEC0-7A63A5E8552B}"/>
            </a:ext>
          </a:extLst>
        </xdr:cNvPr>
        <xdr:cNvPicPr>
          <a:picLocks noChangeAspect="1"/>
        </xdr:cNvPicPr>
      </xdr:nvPicPr>
      <xdr:blipFill>
        <a:blip xmlns:r="http://schemas.openxmlformats.org/officeDocument/2006/relationships" r:embed="rId1"/>
        <a:stretch>
          <a:fillRect/>
        </a:stretch>
      </xdr:blipFill>
      <xdr:spPr>
        <a:xfrm>
          <a:off x="85725" y="57150"/>
          <a:ext cx="557848" cy="400050"/>
        </a:xfrm>
        <a:prstGeom prst="rect">
          <a:avLst/>
        </a:prstGeom>
      </xdr:spPr>
    </xdr:pic>
    <xdr:clientData/>
  </xdr:twoCellAnchor>
  <xdr:twoCellAnchor editAs="oneCell">
    <xdr:from>
      <xdr:col>9</xdr:col>
      <xdr:colOff>209550</xdr:colOff>
      <xdr:row>0</xdr:row>
      <xdr:rowOff>95250</xdr:rowOff>
    </xdr:from>
    <xdr:to>
      <xdr:col>9</xdr:col>
      <xdr:colOff>790575</xdr:colOff>
      <xdr:row>0</xdr:row>
      <xdr:rowOff>409575</xdr:rowOff>
    </xdr:to>
    <xdr:pic>
      <xdr:nvPicPr>
        <xdr:cNvPr id="3" name="Imagem 2" descr="AGEVAP.png">
          <a:extLst>
            <a:ext uri="{FF2B5EF4-FFF2-40B4-BE49-F238E27FC236}">
              <a16:creationId xmlns:a16="http://schemas.microsoft.com/office/drawing/2014/main" id="{34094B88-4786-43B3-B0A4-2913A7B8E24D}"/>
            </a:ext>
          </a:extLst>
        </xdr:cNvPr>
        <xdr:cNvPicPr>
          <a:picLocks noChangeAspect="1"/>
        </xdr:cNvPicPr>
      </xdr:nvPicPr>
      <xdr:blipFill>
        <a:blip xmlns:r="http://schemas.openxmlformats.org/officeDocument/2006/relationships" r:embed="rId2" cstate="print"/>
        <a:stretch>
          <a:fillRect/>
        </a:stretch>
      </xdr:blipFill>
      <xdr:spPr>
        <a:xfrm>
          <a:off x="12125325" y="95250"/>
          <a:ext cx="581025" cy="3143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90664</xdr:colOff>
      <xdr:row>0</xdr:row>
      <xdr:rowOff>28575</xdr:rowOff>
    </xdr:from>
    <xdr:to>
      <xdr:col>0</xdr:col>
      <xdr:colOff>651687</xdr:colOff>
      <xdr:row>0</xdr:row>
      <xdr:rowOff>485775</xdr:rowOff>
    </xdr:to>
    <xdr:pic>
      <xdr:nvPicPr>
        <xdr:cNvPr id="2" name="Imagem 1">
          <a:extLst>
            <a:ext uri="{FF2B5EF4-FFF2-40B4-BE49-F238E27FC236}">
              <a16:creationId xmlns:a16="http://schemas.microsoft.com/office/drawing/2014/main" id="{BE169F91-B78D-44E3-9BCE-542E69AC48E5}"/>
            </a:ext>
          </a:extLst>
        </xdr:cNvPr>
        <xdr:cNvPicPr>
          <a:picLocks noChangeAspect="1"/>
        </xdr:cNvPicPr>
      </xdr:nvPicPr>
      <xdr:blipFill>
        <a:blip xmlns:r="http://schemas.openxmlformats.org/officeDocument/2006/relationships" r:embed="rId1"/>
        <a:stretch>
          <a:fillRect/>
        </a:stretch>
      </xdr:blipFill>
      <xdr:spPr>
        <a:xfrm>
          <a:off x="90664" y="28575"/>
          <a:ext cx="561023" cy="457200"/>
        </a:xfrm>
        <a:prstGeom prst="rect">
          <a:avLst/>
        </a:prstGeom>
      </xdr:spPr>
    </xdr:pic>
    <xdr:clientData/>
  </xdr:twoCellAnchor>
  <xdr:twoCellAnchor editAs="oneCell">
    <xdr:from>
      <xdr:col>7</xdr:col>
      <xdr:colOff>24342</xdr:colOff>
      <xdr:row>0</xdr:row>
      <xdr:rowOff>109008</xdr:rowOff>
    </xdr:from>
    <xdr:to>
      <xdr:col>7</xdr:col>
      <xdr:colOff>605367</xdr:colOff>
      <xdr:row>0</xdr:row>
      <xdr:rowOff>392331</xdr:rowOff>
    </xdr:to>
    <xdr:pic>
      <xdr:nvPicPr>
        <xdr:cNvPr id="3" name="Imagem 2" descr="AGEVAP.png">
          <a:extLst>
            <a:ext uri="{FF2B5EF4-FFF2-40B4-BE49-F238E27FC236}">
              <a16:creationId xmlns:a16="http://schemas.microsoft.com/office/drawing/2014/main" id="{EFF2D6CD-A0EA-4527-9FCE-C27AF54A5A41}"/>
            </a:ext>
          </a:extLst>
        </xdr:cNvPr>
        <xdr:cNvPicPr>
          <a:picLocks noChangeAspect="1"/>
        </xdr:cNvPicPr>
      </xdr:nvPicPr>
      <xdr:blipFill>
        <a:blip xmlns:r="http://schemas.openxmlformats.org/officeDocument/2006/relationships" r:embed="rId2" cstate="print"/>
        <a:stretch>
          <a:fillRect/>
        </a:stretch>
      </xdr:blipFill>
      <xdr:spPr>
        <a:xfrm>
          <a:off x="8863542" y="109008"/>
          <a:ext cx="581025" cy="28332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90664</xdr:colOff>
      <xdr:row>0</xdr:row>
      <xdr:rowOff>28575</xdr:rowOff>
    </xdr:from>
    <xdr:to>
      <xdr:col>0</xdr:col>
      <xdr:colOff>651687</xdr:colOff>
      <xdr:row>0</xdr:row>
      <xdr:rowOff>485775</xdr:rowOff>
    </xdr:to>
    <xdr:pic>
      <xdr:nvPicPr>
        <xdr:cNvPr id="2" name="Imagem 1">
          <a:extLst>
            <a:ext uri="{FF2B5EF4-FFF2-40B4-BE49-F238E27FC236}">
              <a16:creationId xmlns:a16="http://schemas.microsoft.com/office/drawing/2014/main" id="{F7A5751E-008B-45E7-9332-3A4C28692712}"/>
            </a:ext>
          </a:extLst>
        </xdr:cNvPr>
        <xdr:cNvPicPr>
          <a:picLocks noChangeAspect="1"/>
        </xdr:cNvPicPr>
      </xdr:nvPicPr>
      <xdr:blipFill>
        <a:blip xmlns:r="http://schemas.openxmlformats.org/officeDocument/2006/relationships" r:embed="rId1"/>
        <a:stretch>
          <a:fillRect/>
        </a:stretch>
      </xdr:blipFill>
      <xdr:spPr>
        <a:xfrm>
          <a:off x="90664" y="28575"/>
          <a:ext cx="561023" cy="457200"/>
        </a:xfrm>
        <a:prstGeom prst="rect">
          <a:avLst/>
        </a:prstGeom>
      </xdr:spPr>
    </xdr:pic>
    <xdr:clientData/>
  </xdr:twoCellAnchor>
  <xdr:twoCellAnchor editAs="oneCell">
    <xdr:from>
      <xdr:col>7</xdr:col>
      <xdr:colOff>24342</xdr:colOff>
      <xdr:row>0</xdr:row>
      <xdr:rowOff>109008</xdr:rowOff>
    </xdr:from>
    <xdr:to>
      <xdr:col>7</xdr:col>
      <xdr:colOff>605367</xdr:colOff>
      <xdr:row>0</xdr:row>
      <xdr:rowOff>392331</xdr:rowOff>
    </xdr:to>
    <xdr:pic>
      <xdr:nvPicPr>
        <xdr:cNvPr id="3" name="Imagem 2" descr="AGEVAP.png">
          <a:extLst>
            <a:ext uri="{FF2B5EF4-FFF2-40B4-BE49-F238E27FC236}">
              <a16:creationId xmlns:a16="http://schemas.microsoft.com/office/drawing/2014/main" id="{1F183FAC-245E-42B3-AE2F-ED19E10A6FCE}"/>
            </a:ext>
          </a:extLst>
        </xdr:cNvPr>
        <xdr:cNvPicPr>
          <a:picLocks noChangeAspect="1"/>
        </xdr:cNvPicPr>
      </xdr:nvPicPr>
      <xdr:blipFill>
        <a:blip xmlns:r="http://schemas.openxmlformats.org/officeDocument/2006/relationships" r:embed="rId2" cstate="print"/>
        <a:stretch>
          <a:fillRect/>
        </a:stretch>
      </xdr:blipFill>
      <xdr:spPr>
        <a:xfrm>
          <a:off x="8863542" y="109008"/>
          <a:ext cx="581025" cy="28332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109714</xdr:colOff>
      <xdr:row>0</xdr:row>
      <xdr:rowOff>51153</xdr:rowOff>
    </xdr:from>
    <xdr:to>
      <xdr:col>1</xdr:col>
      <xdr:colOff>270687</xdr:colOff>
      <xdr:row>0</xdr:row>
      <xdr:rowOff>451203</xdr:rowOff>
    </xdr:to>
    <xdr:pic>
      <xdr:nvPicPr>
        <xdr:cNvPr id="4" name="Imagem 3">
          <a:extLst>
            <a:ext uri="{FF2B5EF4-FFF2-40B4-BE49-F238E27FC236}">
              <a16:creationId xmlns:a16="http://schemas.microsoft.com/office/drawing/2014/main" id="{63FE2D65-2EE7-49CC-A98C-35C7E30D46EA}"/>
            </a:ext>
          </a:extLst>
        </xdr:cNvPr>
        <xdr:cNvPicPr>
          <a:picLocks noChangeAspect="1"/>
        </xdr:cNvPicPr>
      </xdr:nvPicPr>
      <xdr:blipFill>
        <a:blip xmlns:r="http://schemas.openxmlformats.org/officeDocument/2006/relationships" r:embed="rId1"/>
        <a:stretch>
          <a:fillRect/>
        </a:stretch>
      </xdr:blipFill>
      <xdr:spPr>
        <a:xfrm>
          <a:off x="109714" y="51153"/>
          <a:ext cx="557848" cy="400050"/>
        </a:xfrm>
        <a:prstGeom prst="rect">
          <a:avLst/>
        </a:prstGeom>
      </xdr:spPr>
    </xdr:pic>
    <xdr:clientData/>
  </xdr:twoCellAnchor>
  <xdr:twoCellAnchor editAs="oneCell">
    <xdr:from>
      <xdr:col>5</xdr:col>
      <xdr:colOff>124178</xdr:colOff>
      <xdr:row>0</xdr:row>
      <xdr:rowOff>110419</xdr:rowOff>
    </xdr:from>
    <xdr:to>
      <xdr:col>5</xdr:col>
      <xdr:colOff>705203</xdr:colOff>
      <xdr:row>0</xdr:row>
      <xdr:rowOff>393742</xdr:rowOff>
    </xdr:to>
    <xdr:pic>
      <xdr:nvPicPr>
        <xdr:cNvPr id="5" name="Imagem 4" descr="AGEVAP.png">
          <a:extLst>
            <a:ext uri="{FF2B5EF4-FFF2-40B4-BE49-F238E27FC236}">
              <a16:creationId xmlns:a16="http://schemas.microsoft.com/office/drawing/2014/main" id="{74A27B28-D019-4117-BAE1-D56F754E3F66}"/>
            </a:ext>
          </a:extLst>
        </xdr:cNvPr>
        <xdr:cNvPicPr>
          <a:picLocks noChangeAspect="1"/>
        </xdr:cNvPicPr>
      </xdr:nvPicPr>
      <xdr:blipFill>
        <a:blip xmlns:r="http://schemas.openxmlformats.org/officeDocument/2006/relationships" r:embed="rId2" cstate="print"/>
        <a:stretch>
          <a:fillRect/>
        </a:stretch>
      </xdr:blipFill>
      <xdr:spPr>
        <a:xfrm>
          <a:off x="5601053" y="110419"/>
          <a:ext cx="581025" cy="28332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90664</xdr:colOff>
      <xdr:row>0</xdr:row>
      <xdr:rowOff>28575</xdr:rowOff>
    </xdr:from>
    <xdr:to>
      <xdr:col>0</xdr:col>
      <xdr:colOff>651687</xdr:colOff>
      <xdr:row>0</xdr:row>
      <xdr:rowOff>485775</xdr:rowOff>
    </xdr:to>
    <xdr:pic>
      <xdr:nvPicPr>
        <xdr:cNvPr id="2" name="Imagem 1">
          <a:extLst>
            <a:ext uri="{FF2B5EF4-FFF2-40B4-BE49-F238E27FC236}">
              <a16:creationId xmlns:a16="http://schemas.microsoft.com/office/drawing/2014/main" id="{425EEA72-D787-4795-9F65-A53AB6393C8C}"/>
            </a:ext>
          </a:extLst>
        </xdr:cNvPr>
        <xdr:cNvPicPr>
          <a:picLocks noChangeAspect="1"/>
        </xdr:cNvPicPr>
      </xdr:nvPicPr>
      <xdr:blipFill>
        <a:blip xmlns:r="http://schemas.openxmlformats.org/officeDocument/2006/relationships" r:embed="rId1"/>
        <a:stretch>
          <a:fillRect/>
        </a:stretch>
      </xdr:blipFill>
      <xdr:spPr>
        <a:xfrm>
          <a:off x="90664" y="28575"/>
          <a:ext cx="561023" cy="457200"/>
        </a:xfrm>
        <a:prstGeom prst="rect">
          <a:avLst/>
        </a:prstGeom>
      </xdr:spPr>
    </xdr:pic>
    <xdr:clientData/>
  </xdr:twoCellAnchor>
  <xdr:twoCellAnchor editAs="oneCell">
    <xdr:from>
      <xdr:col>7</xdr:col>
      <xdr:colOff>24342</xdr:colOff>
      <xdr:row>0</xdr:row>
      <xdr:rowOff>109008</xdr:rowOff>
    </xdr:from>
    <xdr:to>
      <xdr:col>7</xdr:col>
      <xdr:colOff>605367</xdr:colOff>
      <xdr:row>0</xdr:row>
      <xdr:rowOff>392331</xdr:rowOff>
    </xdr:to>
    <xdr:pic>
      <xdr:nvPicPr>
        <xdr:cNvPr id="3" name="Imagem 2" descr="AGEVAP.png">
          <a:extLst>
            <a:ext uri="{FF2B5EF4-FFF2-40B4-BE49-F238E27FC236}">
              <a16:creationId xmlns:a16="http://schemas.microsoft.com/office/drawing/2014/main" id="{B0B99E01-08E1-43B9-A531-51B29B51969D}"/>
            </a:ext>
          </a:extLst>
        </xdr:cNvPr>
        <xdr:cNvPicPr>
          <a:picLocks noChangeAspect="1"/>
        </xdr:cNvPicPr>
      </xdr:nvPicPr>
      <xdr:blipFill>
        <a:blip xmlns:r="http://schemas.openxmlformats.org/officeDocument/2006/relationships" r:embed="rId2" cstate="print"/>
        <a:stretch>
          <a:fillRect/>
        </a:stretch>
      </xdr:blipFill>
      <xdr:spPr>
        <a:xfrm>
          <a:off x="8863542" y="109008"/>
          <a:ext cx="581025" cy="28332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90664</xdr:colOff>
      <xdr:row>0</xdr:row>
      <xdr:rowOff>28575</xdr:rowOff>
    </xdr:from>
    <xdr:to>
      <xdr:col>0</xdr:col>
      <xdr:colOff>651687</xdr:colOff>
      <xdr:row>0</xdr:row>
      <xdr:rowOff>485775</xdr:rowOff>
    </xdr:to>
    <xdr:pic>
      <xdr:nvPicPr>
        <xdr:cNvPr id="2" name="Imagem 1">
          <a:extLst>
            <a:ext uri="{FF2B5EF4-FFF2-40B4-BE49-F238E27FC236}">
              <a16:creationId xmlns:a16="http://schemas.microsoft.com/office/drawing/2014/main" id="{307BA985-CB6B-4124-B64D-EE50BACDD5FC}"/>
            </a:ext>
          </a:extLst>
        </xdr:cNvPr>
        <xdr:cNvPicPr>
          <a:picLocks noChangeAspect="1"/>
        </xdr:cNvPicPr>
      </xdr:nvPicPr>
      <xdr:blipFill>
        <a:blip xmlns:r="http://schemas.openxmlformats.org/officeDocument/2006/relationships" r:embed="rId1"/>
        <a:stretch>
          <a:fillRect/>
        </a:stretch>
      </xdr:blipFill>
      <xdr:spPr>
        <a:xfrm>
          <a:off x="90664" y="28575"/>
          <a:ext cx="561023" cy="457200"/>
        </a:xfrm>
        <a:prstGeom prst="rect">
          <a:avLst/>
        </a:prstGeom>
      </xdr:spPr>
    </xdr:pic>
    <xdr:clientData/>
  </xdr:twoCellAnchor>
  <xdr:twoCellAnchor editAs="oneCell">
    <xdr:from>
      <xdr:col>7</xdr:col>
      <xdr:colOff>24342</xdr:colOff>
      <xdr:row>0</xdr:row>
      <xdr:rowOff>109008</xdr:rowOff>
    </xdr:from>
    <xdr:to>
      <xdr:col>7</xdr:col>
      <xdr:colOff>605367</xdr:colOff>
      <xdr:row>0</xdr:row>
      <xdr:rowOff>392331</xdr:rowOff>
    </xdr:to>
    <xdr:pic>
      <xdr:nvPicPr>
        <xdr:cNvPr id="3" name="Imagem 2" descr="AGEVAP.png">
          <a:extLst>
            <a:ext uri="{FF2B5EF4-FFF2-40B4-BE49-F238E27FC236}">
              <a16:creationId xmlns:a16="http://schemas.microsoft.com/office/drawing/2014/main" id="{F8C96D2D-E10E-4839-A1BB-E5E997A84D50}"/>
            </a:ext>
          </a:extLst>
        </xdr:cNvPr>
        <xdr:cNvPicPr>
          <a:picLocks noChangeAspect="1"/>
        </xdr:cNvPicPr>
      </xdr:nvPicPr>
      <xdr:blipFill>
        <a:blip xmlns:r="http://schemas.openxmlformats.org/officeDocument/2006/relationships" r:embed="rId2" cstate="print"/>
        <a:stretch>
          <a:fillRect/>
        </a:stretch>
      </xdr:blipFill>
      <xdr:spPr>
        <a:xfrm>
          <a:off x="8863542" y="109008"/>
          <a:ext cx="581025" cy="28332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62089</xdr:colOff>
      <xdr:row>0</xdr:row>
      <xdr:rowOff>38100</xdr:rowOff>
    </xdr:from>
    <xdr:to>
      <xdr:col>0</xdr:col>
      <xdr:colOff>623112</xdr:colOff>
      <xdr:row>0</xdr:row>
      <xdr:rowOff>495300</xdr:rowOff>
    </xdr:to>
    <xdr:pic>
      <xdr:nvPicPr>
        <xdr:cNvPr id="2" name="Imagem 1">
          <a:extLst>
            <a:ext uri="{FF2B5EF4-FFF2-40B4-BE49-F238E27FC236}">
              <a16:creationId xmlns:a16="http://schemas.microsoft.com/office/drawing/2014/main" id="{E140AEE3-C1FB-4D32-89CC-DCDA4D56008F}"/>
            </a:ext>
          </a:extLst>
        </xdr:cNvPr>
        <xdr:cNvPicPr>
          <a:picLocks noChangeAspect="1"/>
        </xdr:cNvPicPr>
      </xdr:nvPicPr>
      <xdr:blipFill>
        <a:blip xmlns:r="http://schemas.openxmlformats.org/officeDocument/2006/relationships" r:embed="rId1"/>
        <a:stretch>
          <a:fillRect/>
        </a:stretch>
      </xdr:blipFill>
      <xdr:spPr>
        <a:xfrm>
          <a:off x="62089" y="38100"/>
          <a:ext cx="561023" cy="457200"/>
        </a:xfrm>
        <a:prstGeom prst="rect">
          <a:avLst/>
        </a:prstGeom>
      </xdr:spPr>
    </xdr:pic>
    <xdr:clientData/>
  </xdr:twoCellAnchor>
  <xdr:twoCellAnchor editAs="oneCell">
    <xdr:from>
      <xdr:col>7</xdr:col>
      <xdr:colOff>24342</xdr:colOff>
      <xdr:row>0</xdr:row>
      <xdr:rowOff>109008</xdr:rowOff>
    </xdr:from>
    <xdr:to>
      <xdr:col>7</xdr:col>
      <xdr:colOff>605367</xdr:colOff>
      <xdr:row>0</xdr:row>
      <xdr:rowOff>392331</xdr:rowOff>
    </xdr:to>
    <xdr:pic>
      <xdr:nvPicPr>
        <xdr:cNvPr id="3" name="Imagem 2" descr="AGEVAP.png">
          <a:extLst>
            <a:ext uri="{FF2B5EF4-FFF2-40B4-BE49-F238E27FC236}">
              <a16:creationId xmlns:a16="http://schemas.microsoft.com/office/drawing/2014/main" id="{53646881-BE77-4958-BDC0-D99ED7D50A69}"/>
            </a:ext>
          </a:extLst>
        </xdr:cNvPr>
        <xdr:cNvPicPr>
          <a:picLocks noChangeAspect="1"/>
        </xdr:cNvPicPr>
      </xdr:nvPicPr>
      <xdr:blipFill>
        <a:blip xmlns:r="http://schemas.openxmlformats.org/officeDocument/2006/relationships" r:embed="rId2" cstate="print"/>
        <a:stretch>
          <a:fillRect/>
        </a:stretch>
      </xdr:blipFill>
      <xdr:spPr>
        <a:xfrm>
          <a:off x="8892117" y="109008"/>
          <a:ext cx="581025" cy="28332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90664</xdr:colOff>
      <xdr:row>0</xdr:row>
      <xdr:rowOff>28575</xdr:rowOff>
    </xdr:from>
    <xdr:to>
      <xdr:col>0</xdr:col>
      <xdr:colOff>651687</xdr:colOff>
      <xdr:row>0</xdr:row>
      <xdr:rowOff>485775</xdr:rowOff>
    </xdr:to>
    <xdr:pic>
      <xdr:nvPicPr>
        <xdr:cNvPr id="2" name="Imagem 1">
          <a:extLst>
            <a:ext uri="{FF2B5EF4-FFF2-40B4-BE49-F238E27FC236}">
              <a16:creationId xmlns:a16="http://schemas.microsoft.com/office/drawing/2014/main" id="{8CA724B9-69D1-406F-97A5-4357D62D38B0}"/>
            </a:ext>
          </a:extLst>
        </xdr:cNvPr>
        <xdr:cNvPicPr>
          <a:picLocks noChangeAspect="1"/>
        </xdr:cNvPicPr>
      </xdr:nvPicPr>
      <xdr:blipFill>
        <a:blip xmlns:r="http://schemas.openxmlformats.org/officeDocument/2006/relationships" r:embed="rId1"/>
        <a:stretch>
          <a:fillRect/>
        </a:stretch>
      </xdr:blipFill>
      <xdr:spPr>
        <a:xfrm>
          <a:off x="90664" y="28575"/>
          <a:ext cx="561023" cy="457200"/>
        </a:xfrm>
        <a:prstGeom prst="rect">
          <a:avLst/>
        </a:prstGeom>
      </xdr:spPr>
    </xdr:pic>
    <xdr:clientData/>
  </xdr:twoCellAnchor>
  <xdr:twoCellAnchor editAs="oneCell">
    <xdr:from>
      <xdr:col>7</xdr:col>
      <xdr:colOff>24342</xdr:colOff>
      <xdr:row>0</xdr:row>
      <xdr:rowOff>109008</xdr:rowOff>
    </xdr:from>
    <xdr:to>
      <xdr:col>7</xdr:col>
      <xdr:colOff>605367</xdr:colOff>
      <xdr:row>0</xdr:row>
      <xdr:rowOff>392331</xdr:rowOff>
    </xdr:to>
    <xdr:pic>
      <xdr:nvPicPr>
        <xdr:cNvPr id="3" name="Imagem 2" descr="AGEVAP.png">
          <a:extLst>
            <a:ext uri="{FF2B5EF4-FFF2-40B4-BE49-F238E27FC236}">
              <a16:creationId xmlns:a16="http://schemas.microsoft.com/office/drawing/2014/main" id="{C4525A03-8A28-430B-8842-8071C3F29F27}"/>
            </a:ext>
          </a:extLst>
        </xdr:cNvPr>
        <xdr:cNvPicPr>
          <a:picLocks noChangeAspect="1"/>
        </xdr:cNvPicPr>
      </xdr:nvPicPr>
      <xdr:blipFill>
        <a:blip xmlns:r="http://schemas.openxmlformats.org/officeDocument/2006/relationships" r:embed="rId2" cstate="print"/>
        <a:stretch>
          <a:fillRect/>
        </a:stretch>
      </xdr:blipFill>
      <xdr:spPr>
        <a:xfrm>
          <a:off x="8863542" y="109008"/>
          <a:ext cx="581025" cy="28332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90664</xdr:colOff>
      <xdr:row>0</xdr:row>
      <xdr:rowOff>28575</xdr:rowOff>
    </xdr:from>
    <xdr:to>
      <xdr:col>0</xdr:col>
      <xdr:colOff>651687</xdr:colOff>
      <xdr:row>0</xdr:row>
      <xdr:rowOff>485775</xdr:rowOff>
    </xdr:to>
    <xdr:pic>
      <xdr:nvPicPr>
        <xdr:cNvPr id="2" name="Imagem 1">
          <a:extLst>
            <a:ext uri="{FF2B5EF4-FFF2-40B4-BE49-F238E27FC236}">
              <a16:creationId xmlns:a16="http://schemas.microsoft.com/office/drawing/2014/main" id="{2F636A88-E586-4B6A-ADA5-EB311177B61D}"/>
            </a:ext>
          </a:extLst>
        </xdr:cNvPr>
        <xdr:cNvPicPr>
          <a:picLocks noChangeAspect="1"/>
        </xdr:cNvPicPr>
      </xdr:nvPicPr>
      <xdr:blipFill>
        <a:blip xmlns:r="http://schemas.openxmlformats.org/officeDocument/2006/relationships" r:embed="rId1"/>
        <a:stretch>
          <a:fillRect/>
        </a:stretch>
      </xdr:blipFill>
      <xdr:spPr>
        <a:xfrm>
          <a:off x="90664" y="28575"/>
          <a:ext cx="561023" cy="457200"/>
        </a:xfrm>
        <a:prstGeom prst="rect">
          <a:avLst/>
        </a:prstGeom>
      </xdr:spPr>
    </xdr:pic>
    <xdr:clientData/>
  </xdr:twoCellAnchor>
  <xdr:twoCellAnchor editAs="oneCell">
    <xdr:from>
      <xdr:col>7</xdr:col>
      <xdr:colOff>24342</xdr:colOff>
      <xdr:row>0</xdr:row>
      <xdr:rowOff>109008</xdr:rowOff>
    </xdr:from>
    <xdr:to>
      <xdr:col>7</xdr:col>
      <xdr:colOff>605367</xdr:colOff>
      <xdr:row>0</xdr:row>
      <xdr:rowOff>392331</xdr:rowOff>
    </xdr:to>
    <xdr:pic>
      <xdr:nvPicPr>
        <xdr:cNvPr id="3" name="Imagem 2" descr="AGEVAP.png">
          <a:extLst>
            <a:ext uri="{FF2B5EF4-FFF2-40B4-BE49-F238E27FC236}">
              <a16:creationId xmlns:a16="http://schemas.microsoft.com/office/drawing/2014/main" id="{DF778271-6657-48FB-97F6-96895649C1C0}"/>
            </a:ext>
          </a:extLst>
        </xdr:cNvPr>
        <xdr:cNvPicPr>
          <a:picLocks noChangeAspect="1"/>
        </xdr:cNvPicPr>
      </xdr:nvPicPr>
      <xdr:blipFill>
        <a:blip xmlns:r="http://schemas.openxmlformats.org/officeDocument/2006/relationships" r:embed="rId2" cstate="print"/>
        <a:stretch>
          <a:fillRect/>
        </a:stretch>
      </xdr:blipFill>
      <xdr:spPr>
        <a:xfrm>
          <a:off x="8863542" y="109008"/>
          <a:ext cx="581025" cy="28332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3996</xdr:colOff>
      <xdr:row>0</xdr:row>
      <xdr:rowOff>97935</xdr:rowOff>
    </xdr:from>
    <xdr:to>
      <xdr:col>2</xdr:col>
      <xdr:colOff>422094</xdr:colOff>
      <xdr:row>2</xdr:row>
      <xdr:rowOff>144234</xdr:rowOff>
    </xdr:to>
    <xdr:pic>
      <xdr:nvPicPr>
        <xdr:cNvPr id="2" name="Imagem 1">
          <a:extLst>
            <a:ext uri="{FF2B5EF4-FFF2-40B4-BE49-F238E27FC236}">
              <a16:creationId xmlns:a16="http://schemas.microsoft.com/office/drawing/2014/main" id="{E916C63F-A008-417F-BF74-6A598064E307}"/>
            </a:ext>
          </a:extLst>
        </xdr:cNvPr>
        <xdr:cNvPicPr>
          <a:picLocks noChangeAspect="1"/>
        </xdr:cNvPicPr>
      </xdr:nvPicPr>
      <xdr:blipFill>
        <a:blip xmlns:r="http://schemas.openxmlformats.org/officeDocument/2006/relationships" r:embed="rId1"/>
        <a:stretch>
          <a:fillRect/>
        </a:stretch>
      </xdr:blipFill>
      <xdr:spPr>
        <a:xfrm>
          <a:off x="918396" y="97935"/>
          <a:ext cx="1065798" cy="427299"/>
        </a:xfrm>
        <a:prstGeom prst="rect">
          <a:avLst/>
        </a:prstGeom>
      </xdr:spPr>
    </xdr:pic>
    <xdr:clientData/>
  </xdr:twoCellAnchor>
  <xdr:twoCellAnchor editAs="oneCell">
    <xdr:from>
      <xdr:col>8</xdr:col>
      <xdr:colOff>473870</xdr:colOff>
      <xdr:row>0</xdr:row>
      <xdr:rowOff>98423</xdr:rowOff>
    </xdr:from>
    <xdr:to>
      <xdr:col>8</xdr:col>
      <xdr:colOff>1181100</xdr:colOff>
      <xdr:row>3</xdr:row>
      <xdr:rowOff>23453</xdr:rowOff>
    </xdr:to>
    <xdr:pic>
      <xdr:nvPicPr>
        <xdr:cNvPr id="4" name="Imagem 3">
          <a:extLst>
            <a:ext uri="{FF2B5EF4-FFF2-40B4-BE49-F238E27FC236}">
              <a16:creationId xmlns:a16="http://schemas.microsoft.com/office/drawing/2014/main" id="{A73A861E-8163-48FB-B4A3-9E6E7C403AE1}"/>
            </a:ext>
          </a:extLst>
        </xdr:cNvPr>
        <xdr:cNvPicPr>
          <a:picLocks noChangeAspect="1"/>
        </xdr:cNvPicPr>
      </xdr:nvPicPr>
      <xdr:blipFill>
        <a:blip xmlns:r="http://schemas.openxmlformats.org/officeDocument/2006/relationships" r:embed="rId2"/>
        <a:stretch>
          <a:fillRect/>
        </a:stretch>
      </xdr:blipFill>
      <xdr:spPr>
        <a:xfrm>
          <a:off x="9684545" y="98423"/>
          <a:ext cx="707230" cy="496530"/>
        </a:xfrm>
        <a:prstGeom prst="rect">
          <a:avLst/>
        </a:prstGeom>
      </xdr:spPr>
    </xdr:pic>
    <xdr:clientData/>
  </xdr:twoCellAnchor>
  <xdr:twoCellAnchor editAs="oneCell">
    <xdr:from>
      <xdr:col>9</xdr:col>
      <xdr:colOff>252414</xdr:colOff>
      <xdr:row>0</xdr:row>
      <xdr:rowOff>99559</xdr:rowOff>
    </xdr:from>
    <xdr:to>
      <xdr:col>9</xdr:col>
      <xdr:colOff>1143000</xdr:colOff>
      <xdr:row>2</xdr:row>
      <xdr:rowOff>184098</xdr:rowOff>
    </xdr:to>
    <xdr:pic>
      <xdr:nvPicPr>
        <xdr:cNvPr id="5" name="Imagem 4">
          <a:extLst>
            <a:ext uri="{FF2B5EF4-FFF2-40B4-BE49-F238E27FC236}">
              <a16:creationId xmlns:a16="http://schemas.microsoft.com/office/drawing/2014/main" id="{75914EBF-B0C7-4EAD-B3B1-A44894EC895B}"/>
            </a:ext>
          </a:extLst>
        </xdr:cNvPr>
        <xdr:cNvPicPr>
          <a:picLocks noChangeAspect="1"/>
        </xdr:cNvPicPr>
      </xdr:nvPicPr>
      <xdr:blipFill>
        <a:blip xmlns:r="http://schemas.openxmlformats.org/officeDocument/2006/relationships" r:embed="rId3"/>
        <a:stretch>
          <a:fillRect/>
        </a:stretch>
      </xdr:blipFill>
      <xdr:spPr>
        <a:xfrm>
          <a:off x="10710864" y="99559"/>
          <a:ext cx="890586" cy="465539"/>
        </a:xfrm>
        <a:prstGeom prst="rect">
          <a:avLst/>
        </a:prstGeom>
      </xdr:spPr>
    </xdr:pic>
    <xdr:clientData/>
  </xdr:twoCellAnchor>
  <xdr:twoCellAnchor editAs="oneCell">
    <xdr:from>
      <xdr:col>10</xdr:col>
      <xdr:colOff>132774</xdr:colOff>
      <xdr:row>0</xdr:row>
      <xdr:rowOff>123103</xdr:rowOff>
    </xdr:from>
    <xdr:to>
      <xdr:col>10</xdr:col>
      <xdr:colOff>691070</xdr:colOff>
      <xdr:row>2</xdr:row>
      <xdr:rowOff>161924</xdr:rowOff>
    </xdr:to>
    <xdr:pic>
      <xdr:nvPicPr>
        <xdr:cNvPr id="6" name="Imagem 5">
          <a:extLst>
            <a:ext uri="{FF2B5EF4-FFF2-40B4-BE49-F238E27FC236}">
              <a16:creationId xmlns:a16="http://schemas.microsoft.com/office/drawing/2014/main" id="{3000C938-4258-4F52-B253-D936ABBA657D}"/>
            </a:ext>
          </a:extLst>
        </xdr:cNvPr>
        <xdr:cNvPicPr>
          <a:picLocks noChangeAspect="1"/>
        </xdr:cNvPicPr>
      </xdr:nvPicPr>
      <xdr:blipFill>
        <a:blip xmlns:r="http://schemas.openxmlformats.org/officeDocument/2006/relationships" r:embed="rId4"/>
        <a:stretch>
          <a:fillRect/>
        </a:stretch>
      </xdr:blipFill>
      <xdr:spPr>
        <a:xfrm>
          <a:off x="11838999" y="123103"/>
          <a:ext cx="558296" cy="419821"/>
        </a:xfrm>
        <a:prstGeom prst="rect">
          <a:avLst/>
        </a:prstGeom>
      </xdr:spPr>
    </xdr:pic>
    <xdr:clientData/>
  </xdr:twoCellAnchor>
  <xdr:twoCellAnchor editAs="oneCell">
    <xdr:from>
      <xdr:col>0</xdr:col>
      <xdr:colOff>156396</xdr:colOff>
      <xdr:row>0</xdr:row>
      <xdr:rowOff>69359</xdr:rowOff>
    </xdr:from>
    <xdr:to>
      <xdr:col>0</xdr:col>
      <xdr:colOff>828675</xdr:colOff>
      <xdr:row>3</xdr:row>
      <xdr:rowOff>45726</xdr:rowOff>
    </xdr:to>
    <xdr:pic>
      <xdr:nvPicPr>
        <xdr:cNvPr id="7" name="Imagem 6">
          <a:extLst>
            <a:ext uri="{FF2B5EF4-FFF2-40B4-BE49-F238E27FC236}">
              <a16:creationId xmlns:a16="http://schemas.microsoft.com/office/drawing/2014/main" id="{EBFC6215-9C80-4DEF-9C49-24C8175B6FCE}"/>
            </a:ext>
          </a:extLst>
        </xdr:cNvPr>
        <xdr:cNvPicPr>
          <a:picLocks noChangeAspect="1"/>
        </xdr:cNvPicPr>
      </xdr:nvPicPr>
      <xdr:blipFill>
        <a:blip xmlns:r="http://schemas.openxmlformats.org/officeDocument/2006/relationships" r:embed="rId5"/>
        <a:stretch>
          <a:fillRect/>
        </a:stretch>
      </xdr:blipFill>
      <xdr:spPr>
        <a:xfrm>
          <a:off x="156396" y="69359"/>
          <a:ext cx="672279" cy="547867"/>
        </a:xfrm>
        <a:prstGeom prst="rect">
          <a:avLst/>
        </a:prstGeom>
      </xdr:spPr>
    </xdr:pic>
    <xdr:clientData/>
  </xdr:twoCellAnchor>
  <xdr:twoCellAnchor editAs="oneCell">
    <xdr:from>
      <xdr:col>11</xdr:col>
      <xdr:colOff>476250</xdr:colOff>
      <xdr:row>0</xdr:row>
      <xdr:rowOff>133350</xdr:rowOff>
    </xdr:from>
    <xdr:to>
      <xdr:col>11</xdr:col>
      <xdr:colOff>1120852</xdr:colOff>
      <xdr:row>2</xdr:row>
      <xdr:rowOff>66675</xdr:rowOff>
    </xdr:to>
    <xdr:pic>
      <xdr:nvPicPr>
        <xdr:cNvPr id="9" name="Imagem 8" descr="AGEVAP.png">
          <a:extLst>
            <a:ext uri="{FF2B5EF4-FFF2-40B4-BE49-F238E27FC236}">
              <a16:creationId xmlns:a16="http://schemas.microsoft.com/office/drawing/2014/main" id="{340B5A99-5331-4073-9425-8996438D365A}"/>
            </a:ext>
          </a:extLst>
        </xdr:cNvPr>
        <xdr:cNvPicPr>
          <a:picLocks noChangeAspect="1"/>
        </xdr:cNvPicPr>
      </xdr:nvPicPr>
      <xdr:blipFill>
        <a:blip xmlns:r="http://schemas.openxmlformats.org/officeDocument/2006/relationships" r:embed="rId6" cstate="print"/>
        <a:stretch>
          <a:fillRect/>
        </a:stretch>
      </xdr:blipFill>
      <xdr:spPr>
        <a:xfrm>
          <a:off x="13430250" y="133350"/>
          <a:ext cx="644602" cy="3143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90664</xdr:colOff>
      <xdr:row>0</xdr:row>
      <xdr:rowOff>28575</xdr:rowOff>
    </xdr:from>
    <xdr:to>
      <xdr:col>0</xdr:col>
      <xdr:colOff>651687</xdr:colOff>
      <xdr:row>0</xdr:row>
      <xdr:rowOff>485775</xdr:rowOff>
    </xdr:to>
    <xdr:pic>
      <xdr:nvPicPr>
        <xdr:cNvPr id="2" name="Imagem 1">
          <a:extLst>
            <a:ext uri="{FF2B5EF4-FFF2-40B4-BE49-F238E27FC236}">
              <a16:creationId xmlns:a16="http://schemas.microsoft.com/office/drawing/2014/main" id="{726E7913-CD51-43DD-AFA3-1074C1AF8841}"/>
            </a:ext>
          </a:extLst>
        </xdr:cNvPr>
        <xdr:cNvPicPr>
          <a:picLocks noChangeAspect="1"/>
        </xdr:cNvPicPr>
      </xdr:nvPicPr>
      <xdr:blipFill>
        <a:blip xmlns:r="http://schemas.openxmlformats.org/officeDocument/2006/relationships" r:embed="rId1"/>
        <a:stretch>
          <a:fillRect/>
        </a:stretch>
      </xdr:blipFill>
      <xdr:spPr>
        <a:xfrm>
          <a:off x="90664" y="28575"/>
          <a:ext cx="561023" cy="457200"/>
        </a:xfrm>
        <a:prstGeom prst="rect">
          <a:avLst/>
        </a:prstGeom>
      </xdr:spPr>
    </xdr:pic>
    <xdr:clientData/>
  </xdr:twoCellAnchor>
  <xdr:twoCellAnchor editAs="oneCell">
    <xdr:from>
      <xdr:col>7</xdr:col>
      <xdr:colOff>24342</xdr:colOff>
      <xdr:row>0</xdr:row>
      <xdr:rowOff>109008</xdr:rowOff>
    </xdr:from>
    <xdr:to>
      <xdr:col>7</xdr:col>
      <xdr:colOff>605367</xdr:colOff>
      <xdr:row>0</xdr:row>
      <xdr:rowOff>392331</xdr:rowOff>
    </xdr:to>
    <xdr:pic>
      <xdr:nvPicPr>
        <xdr:cNvPr id="3" name="Imagem 2" descr="AGEVAP.png">
          <a:extLst>
            <a:ext uri="{FF2B5EF4-FFF2-40B4-BE49-F238E27FC236}">
              <a16:creationId xmlns:a16="http://schemas.microsoft.com/office/drawing/2014/main" id="{3E5CFBB8-01A1-4BC4-8DD2-F1AF8C889DCB}"/>
            </a:ext>
          </a:extLst>
        </xdr:cNvPr>
        <xdr:cNvPicPr>
          <a:picLocks noChangeAspect="1"/>
        </xdr:cNvPicPr>
      </xdr:nvPicPr>
      <xdr:blipFill>
        <a:blip xmlns:r="http://schemas.openxmlformats.org/officeDocument/2006/relationships" r:embed="rId2" cstate="print"/>
        <a:stretch>
          <a:fillRect/>
        </a:stretch>
      </xdr:blipFill>
      <xdr:spPr>
        <a:xfrm>
          <a:off x="8863542" y="109008"/>
          <a:ext cx="581025" cy="2833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1</xdr:col>
      <xdr:colOff>233998</xdr:colOff>
      <xdr:row>0</xdr:row>
      <xdr:rowOff>438150</xdr:rowOff>
    </xdr:to>
    <xdr:pic>
      <xdr:nvPicPr>
        <xdr:cNvPr id="4" name="Imagem 3">
          <a:extLst>
            <a:ext uri="{FF2B5EF4-FFF2-40B4-BE49-F238E27FC236}">
              <a16:creationId xmlns:a16="http://schemas.microsoft.com/office/drawing/2014/main" id="{4CCF262A-B5D3-4836-B214-A7759974A91C}"/>
            </a:ext>
          </a:extLst>
        </xdr:cNvPr>
        <xdr:cNvPicPr>
          <a:picLocks noChangeAspect="1"/>
        </xdr:cNvPicPr>
      </xdr:nvPicPr>
      <xdr:blipFill>
        <a:blip xmlns:r="http://schemas.openxmlformats.org/officeDocument/2006/relationships" r:embed="rId1"/>
        <a:stretch>
          <a:fillRect/>
        </a:stretch>
      </xdr:blipFill>
      <xdr:spPr>
        <a:xfrm>
          <a:off x="57150" y="38100"/>
          <a:ext cx="557848" cy="400050"/>
        </a:xfrm>
        <a:prstGeom prst="rect">
          <a:avLst/>
        </a:prstGeom>
      </xdr:spPr>
    </xdr:pic>
    <xdr:clientData/>
  </xdr:twoCellAnchor>
  <xdr:twoCellAnchor editAs="oneCell">
    <xdr:from>
      <xdr:col>7</xdr:col>
      <xdr:colOff>885825</xdr:colOff>
      <xdr:row>0</xdr:row>
      <xdr:rowOff>104775</xdr:rowOff>
    </xdr:from>
    <xdr:to>
      <xdr:col>8</xdr:col>
      <xdr:colOff>114300</xdr:colOff>
      <xdr:row>0</xdr:row>
      <xdr:rowOff>419100</xdr:rowOff>
    </xdr:to>
    <xdr:pic>
      <xdr:nvPicPr>
        <xdr:cNvPr id="5" name="Imagem 4" descr="AGEVAP.png">
          <a:extLst>
            <a:ext uri="{FF2B5EF4-FFF2-40B4-BE49-F238E27FC236}">
              <a16:creationId xmlns:a16="http://schemas.microsoft.com/office/drawing/2014/main" id="{2A9E9262-E081-4035-9AD4-9424975FD8E5}"/>
            </a:ext>
          </a:extLst>
        </xdr:cNvPr>
        <xdr:cNvPicPr>
          <a:picLocks noChangeAspect="1"/>
        </xdr:cNvPicPr>
      </xdr:nvPicPr>
      <xdr:blipFill>
        <a:blip xmlns:r="http://schemas.openxmlformats.org/officeDocument/2006/relationships" r:embed="rId2" cstate="print"/>
        <a:stretch>
          <a:fillRect/>
        </a:stretch>
      </xdr:blipFill>
      <xdr:spPr>
        <a:xfrm>
          <a:off x="5410200" y="104775"/>
          <a:ext cx="581025" cy="31432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90664</xdr:colOff>
      <xdr:row>0</xdr:row>
      <xdr:rowOff>28575</xdr:rowOff>
    </xdr:from>
    <xdr:to>
      <xdr:col>0</xdr:col>
      <xdr:colOff>651687</xdr:colOff>
      <xdr:row>0</xdr:row>
      <xdr:rowOff>485775</xdr:rowOff>
    </xdr:to>
    <xdr:pic>
      <xdr:nvPicPr>
        <xdr:cNvPr id="2" name="Imagem 1">
          <a:extLst>
            <a:ext uri="{FF2B5EF4-FFF2-40B4-BE49-F238E27FC236}">
              <a16:creationId xmlns:a16="http://schemas.microsoft.com/office/drawing/2014/main" id="{EDAACF7E-5CFB-4A72-969B-A4F837B49B3C}"/>
            </a:ext>
          </a:extLst>
        </xdr:cNvPr>
        <xdr:cNvPicPr>
          <a:picLocks noChangeAspect="1"/>
        </xdr:cNvPicPr>
      </xdr:nvPicPr>
      <xdr:blipFill>
        <a:blip xmlns:r="http://schemas.openxmlformats.org/officeDocument/2006/relationships" r:embed="rId1"/>
        <a:stretch>
          <a:fillRect/>
        </a:stretch>
      </xdr:blipFill>
      <xdr:spPr>
        <a:xfrm>
          <a:off x="90664" y="28575"/>
          <a:ext cx="561023" cy="457200"/>
        </a:xfrm>
        <a:prstGeom prst="rect">
          <a:avLst/>
        </a:prstGeom>
      </xdr:spPr>
    </xdr:pic>
    <xdr:clientData/>
  </xdr:twoCellAnchor>
  <xdr:twoCellAnchor editAs="oneCell">
    <xdr:from>
      <xdr:col>7</xdr:col>
      <xdr:colOff>24342</xdr:colOff>
      <xdr:row>0</xdr:row>
      <xdr:rowOff>109008</xdr:rowOff>
    </xdr:from>
    <xdr:to>
      <xdr:col>7</xdr:col>
      <xdr:colOff>605367</xdr:colOff>
      <xdr:row>0</xdr:row>
      <xdr:rowOff>392331</xdr:rowOff>
    </xdr:to>
    <xdr:pic>
      <xdr:nvPicPr>
        <xdr:cNvPr id="3" name="Imagem 2" descr="AGEVAP.png">
          <a:extLst>
            <a:ext uri="{FF2B5EF4-FFF2-40B4-BE49-F238E27FC236}">
              <a16:creationId xmlns:a16="http://schemas.microsoft.com/office/drawing/2014/main" id="{B22A01D3-658B-4D5D-A70A-631E16578B5D}"/>
            </a:ext>
          </a:extLst>
        </xdr:cNvPr>
        <xdr:cNvPicPr>
          <a:picLocks noChangeAspect="1"/>
        </xdr:cNvPicPr>
      </xdr:nvPicPr>
      <xdr:blipFill>
        <a:blip xmlns:r="http://schemas.openxmlformats.org/officeDocument/2006/relationships" r:embed="rId2" cstate="print"/>
        <a:stretch>
          <a:fillRect/>
        </a:stretch>
      </xdr:blipFill>
      <xdr:spPr>
        <a:xfrm>
          <a:off x="8863542" y="109008"/>
          <a:ext cx="581025" cy="28332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90664</xdr:colOff>
      <xdr:row>0</xdr:row>
      <xdr:rowOff>28575</xdr:rowOff>
    </xdr:from>
    <xdr:to>
      <xdr:col>0</xdr:col>
      <xdr:colOff>651687</xdr:colOff>
      <xdr:row>0</xdr:row>
      <xdr:rowOff>485775</xdr:rowOff>
    </xdr:to>
    <xdr:pic>
      <xdr:nvPicPr>
        <xdr:cNvPr id="2" name="Imagem 1">
          <a:extLst>
            <a:ext uri="{FF2B5EF4-FFF2-40B4-BE49-F238E27FC236}">
              <a16:creationId xmlns:a16="http://schemas.microsoft.com/office/drawing/2014/main" id="{6CFFDD03-6334-442F-9446-BD8CF8C3A342}"/>
            </a:ext>
          </a:extLst>
        </xdr:cNvPr>
        <xdr:cNvPicPr>
          <a:picLocks noChangeAspect="1"/>
        </xdr:cNvPicPr>
      </xdr:nvPicPr>
      <xdr:blipFill>
        <a:blip xmlns:r="http://schemas.openxmlformats.org/officeDocument/2006/relationships" r:embed="rId1"/>
        <a:stretch>
          <a:fillRect/>
        </a:stretch>
      </xdr:blipFill>
      <xdr:spPr>
        <a:xfrm>
          <a:off x="90664" y="28575"/>
          <a:ext cx="561023" cy="457200"/>
        </a:xfrm>
        <a:prstGeom prst="rect">
          <a:avLst/>
        </a:prstGeom>
      </xdr:spPr>
    </xdr:pic>
    <xdr:clientData/>
  </xdr:twoCellAnchor>
  <xdr:twoCellAnchor editAs="oneCell">
    <xdr:from>
      <xdr:col>7</xdr:col>
      <xdr:colOff>24342</xdr:colOff>
      <xdr:row>0</xdr:row>
      <xdr:rowOff>109008</xdr:rowOff>
    </xdr:from>
    <xdr:to>
      <xdr:col>7</xdr:col>
      <xdr:colOff>605367</xdr:colOff>
      <xdr:row>0</xdr:row>
      <xdr:rowOff>392331</xdr:rowOff>
    </xdr:to>
    <xdr:pic>
      <xdr:nvPicPr>
        <xdr:cNvPr id="3" name="Imagem 2" descr="AGEVAP.png">
          <a:extLst>
            <a:ext uri="{FF2B5EF4-FFF2-40B4-BE49-F238E27FC236}">
              <a16:creationId xmlns:a16="http://schemas.microsoft.com/office/drawing/2014/main" id="{0240D602-6163-4D87-9710-B2C6BE41EF5E}"/>
            </a:ext>
          </a:extLst>
        </xdr:cNvPr>
        <xdr:cNvPicPr>
          <a:picLocks noChangeAspect="1"/>
        </xdr:cNvPicPr>
      </xdr:nvPicPr>
      <xdr:blipFill>
        <a:blip xmlns:r="http://schemas.openxmlformats.org/officeDocument/2006/relationships" r:embed="rId2" cstate="print"/>
        <a:stretch>
          <a:fillRect/>
        </a:stretch>
      </xdr:blipFill>
      <xdr:spPr>
        <a:xfrm>
          <a:off x="8863542" y="109008"/>
          <a:ext cx="581025" cy="28332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85725</xdr:colOff>
      <xdr:row>0</xdr:row>
      <xdr:rowOff>57150</xdr:rowOff>
    </xdr:from>
    <xdr:to>
      <xdr:col>1</xdr:col>
      <xdr:colOff>119698</xdr:colOff>
      <xdr:row>0</xdr:row>
      <xdr:rowOff>457200</xdr:rowOff>
    </xdr:to>
    <xdr:pic>
      <xdr:nvPicPr>
        <xdr:cNvPr id="5" name="Imagem 4">
          <a:extLst>
            <a:ext uri="{FF2B5EF4-FFF2-40B4-BE49-F238E27FC236}">
              <a16:creationId xmlns:a16="http://schemas.microsoft.com/office/drawing/2014/main" id="{18592CD1-99E2-4549-B069-C3D5E8EFEE76}"/>
            </a:ext>
          </a:extLst>
        </xdr:cNvPr>
        <xdr:cNvPicPr>
          <a:picLocks noChangeAspect="1"/>
        </xdr:cNvPicPr>
      </xdr:nvPicPr>
      <xdr:blipFill>
        <a:blip xmlns:r="http://schemas.openxmlformats.org/officeDocument/2006/relationships" r:embed="rId1"/>
        <a:stretch>
          <a:fillRect/>
        </a:stretch>
      </xdr:blipFill>
      <xdr:spPr>
        <a:xfrm>
          <a:off x="85725" y="57150"/>
          <a:ext cx="557848" cy="400050"/>
        </a:xfrm>
        <a:prstGeom prst="rect">
          <a:avLst/>
        </a:prstGeom>
      </xdr:spPr>
    </xdr:pic>
    <xdr:clientData/>
  </xdr:twoCellAnchor>
  <xdr:twoCellAnchor editAs="oneCell">
    <xdr:from>
      <xdr:col>3</xdr:col>
      <xdr:colOff>66675</xdr:colOff>
      <xdr:row>0</xdr:row>
      <xdr:rowOff>123825</xdr:rowOff>
    </xdr:from>
    <xdr:to>
      <xdr:col>3</xdr:col>
      <xdr:colOff>647700</xdr:colOff>
      <xdr:row>0</xdr:row>
      <xdr:rowOff>407148</xdr:rowOff>
    </xdr:to>
    <xdr:pic>
      <xdr:nvPicPr>
        <xdr:cNvPr id="6" name="Imagem 5" descr="AGEVAP.png">
          <a:extLst>
            <a:ext uri="{FF2B5EF4-FFF2-40B4-BE49-F238E27FC236}">
              <a16:creationId xmlns:a16="http://schemas.microsoft.com/office/drawing/2014/main" id="{E94C490C-142E-4336-9F12-1CCDC8A91788}"/>
            </a:ext>
          </a:extLst>
        </xdr:cNvPr>
        <xdr:cNvPicPr>
          <a:picLocks noChangeAspect="1"/>
        </xdr:cNvPicPr>
      </xdr:nvPicPr>
      <xdr:blipFill>
        <a:blip xmlns:r="http://schemas.openxmlformats.org/officeDocument/2006/relationships" r:embed="rId2" cstate="print"/>
        <a:stretch>
          <a:fillRect/>
        </a:stretch>
      </xdr:blipFill>
      <xdr:spPr>
        <a:xfrm>
          <a:off x="5210175" y="123825"/>
          <a:ext cx="581025" cy="28332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28575</xdr:colOff>
      <xdr:row>0</xdr:row>
      <xdr:rowOff>66675</xdr:rowOff>
    </xdr:from>
    <xdr:to>
      <xdr:col>0</xdr:col>
      <xdr:colOff>586423</xdr:colOff>
      <xdr:row>1</xdr:row>
      <xdr:rowOff>219075</xdr:rowOff>
    </xdr:to>
    <xdr:pic>
      <xdr:nvPicPr>
        <xdr:cNvPr id="5" name="Imagem 4">
          <a:extLst>
            <a:ext uri="{FF2B5EF4-FFF2-40B4-BE49-F238E27FC236}">
              <a16:creationId xmlns:a16="http://schemas.microsoft.com/office/drawing/2014/main" id="{3B827C83-DC9F-4704-B113-02D426CE34AD}"/>
            </a:ext>
          </a:extLst>
        </xdr:cNvPr>
        <xdr:cNvPicPr>
          <a:picLocks noChangeAspect="1"/>
        </xdr:cNvPicPr>
      </xdr:nvPicPr>
      <xdr:blipFill>
        <a:blip xmlns:r="http://schemas.openxmlformats.org/officeDocument/2006/relationships" r:embed="rId1"/>
        <a:stretch>
          <a:fillRect/>
        </a:stretch>
      </xdr:blipFill>
      <xdr:spPr>
        <a:xfrm>
          <a:off x="28575" y="66675"/>
          <a:ext cx="557848" cy="400050"/>
        </a:xfrm>
        <a:prstGeom prst="rect">
          <a:avLst/>
        </a:prstGeom>
      </xdr:spPr>
    </xdr:pic>
    <xdr:clientData/>
  </xdr:twoCellAnchor>
  <xdr:twoCellAnchor editAs="oneCell">
    <xdr:from>
      <xdr:col>3</xdr:col>
      <xdr:colOff>57150</xdr:colOff>
      <xdr:row>0</xdr:row>
      <xdr:rowOff>85725</xdr:rowOff>
    </xdr:from>
    <xdr:to>
      <xdr:col>3</xdr:col>
      <xdr:colOff>638175</xdr:colOff>
      <xdr:row>1</xdr:row>
      <xdr:rowOff>121398</xdr:rowOff>
    </xdr:to>
    <xdr:pic>
      <xdr:nvPicPr>
        <xdr:cNvPr id="6" name="Imagem 5" descr="AGEVAP.png">
          <a:extLst>
            <a:ext uri="{FF2B5EF4-FFF2-40B4-BE49-F238E27FC236}">
              <a16:creationId xmlns:a16="http://schemas.microsoft.com/office/drawing/2014/main" id="{020ADCEE-2B60-435B-9AF3-C04806DB98FE}"/>
            </a:ext>
          </a:extLst>
        </xdr:cNvPr>
        <xdr:cNvPicPr>
          <a:picLocks noChangeAspect="1"/>
        </xdr:cNvPicPr>
      </xdr:nvPicPr>
      <xdr:blipFill>
        <a:blip xmlns:r="http://schemas.openxmlformats.org/officeDocument/2006/relationships" r:embed="rId2" cstate="print"/>
        <a:stretch>
          <a:fillRect/>
        </a:stretch>
      </xdr:blipFill>
      <xdr:spPr>
        <a:xfrm>
          <a:off x="5391150" y="85725"/>
          <a:ext cx="581025" cy="28332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90664</xdr:colOff>
      <xdr:row>0</xdr:row>
      <xdr:rowOff>28575</xdr:rowOff>
    </xdr:from>
    <xdr:to>
      <xdr:col>0</xdr:col>
      <xdr:colOff>651687</xdr:colOff>
      <xdr:row>0</xdr:row>
      <xdr:rowOff>485775</xdr:rowOff>
    </xdr:to>
    <xdr:pic>
      <xdr:nvPicPr>
        <xdr:cNvPr id="2" name="Imagem 1">
          <a:extLst>
            <a:ext uri="{FF2B5EF4-FFF2-40B4-BE49-F238E27FC236}">
              <a16:creationId xmlns:a16="http://schemas.microsoft.com/office/drawing/2014/main" id="{797F9EBC-4E2B-409F-9522-E1FDB3541377}"/>
            </a:ext>
          </a:extLst>
        </xdr:cNvPr>
        <xdr:cNvPicPr>
          <a:picLocks noChangeAspect="1"/>
        </xdr:cNvPicPr>
      </xdr:nvPicPr>
      <xdr:blipFill>
        <a:blip xmlns:r="http://schemas.openxmlformats.org/officeDocument/2006/relationships" r:embed="rId1"/>
        <a:stretch>
          <a:fillRect/>
        </a:stretch>
      </xdr:blipFill>
      <xdr:spPr>
        <a:xfrm>
          <a:off x="90664" y="28575"/>
          <a:ext cx="561023" cy="457200"/>
        </a:xfrm>
        <a:prstGeom prst="rect">
          <a:avLst/>
        </a:prstGeom>
      </xdr:spPr>
    </xdr:pic>
    <xdr:clientData/>
  </xdr:twoCellAnchor>
  <xdr:twoCellAnchor editAs="oneCell">
    <xdr:from>
      <xdr:col>7</xdr:col>
      <xdr:colOff>24342</xdr:colOff>
      <xdr:row>0</xdr:row>
      <xdr:rowOff>109008</xdr:rowOff>
    </xdr:from>
    <xdr:to>
      <xdr:col>7</xdr:col>
      <xdr:colOff>605367</xdr:colOff>
      <xdr:row>0</xdr:row>
      <xdr:rowOff>392331</xdr:rowOff>
    </xdr:to>
    <xdr:pic>
      <xdr:nvPicPr>
        <xdr:cNvPr id="3" name="Imagem 2" descr="AGEVAP.png">
          <a:extLst>
            <a:ext uri="{FF2B5EF4-FFF2-40B4-BE49-F238E27FC236}">
              <a16:creationId xmlns:a16="http://schemas.microsoft.com/office/drawing/2014/main" id="{F2AF0F26-130A-445B-B2A5-6BCEDE88F157}"/>
            </a:ext>
          </a:extLst>
        </xdr:cNvPr>
        <xdr:cNvPicPr>
          <a:picLocks noChangeAspect="1"/>
        </xdr:cNvPicPr>
      </xdr:nvPicPr>
      <xdr:blipFill>
        <a:blip xmlns:r="http://schemas.openxmlformats.org/officeDocument/2006/relationships" r:embed="rId2" cstate="print"/>
        <a:stretch>
          <a:fillRect/>
        </a:stretch>
      </xdr:blipFill>
      <xdr:spPr>
        <a:xfrm>
          <a:off x="8673042" y="109008"/>
          <a:ext cx="581025" cy="2833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0</xdr:row>
      <xdr:rowOff>57150</xdr:rowOff>
    </xdr:from>
    <xdr:to>
      <xdr:col>1</xdr:col>
      <xdr:colOff>281623</xdr:colOff>
      <xdr:row>0</xdr:row>
      <xdr:rowOff>457200</xdr:rowOff>
    </xdr:to>
    <xdr:pic>
      <xdr:nvPicPr>
        <xdr:cNvPr id="4" name="Imagem 3">
          <a:extLst>
            <a:ext uri="{FF2B5EF4-FFF2-40B4-BE49-F238E27FC236}">
              <a16:creationId xmlns:a16="http://schemas.microsoft.com/office/drawing/2014/main" id="{BF8523AA-BD4E-484D-8727-A09905AE5EF9}"/>
            </a:ext>
          </a:extLst>
        </xdr:cNvPr>
        <xdr:cNvPicPr>
          <a:picLocks noChangeAspect="1"/>
        </xdr:cNvPicPr>
      </xdr:nvPicPr>
      <xdr:blipFill>
        <a:blip xmlns:r="http://schemas.openxmlformats.org/officeDocument/2006/relationships" r:embed="rId1"/>
        <a:stretch>
          <a:fillRect/>
        </a:stretch>
      </xdr:blipFill>
      <xdr:spPr>
        <a:xfrm>
          <a:off x="76200" y="57150"/>
          <a:ext cx="557848" cy="400050"/>
        </a:xfrm>
        <a:prstGeom prst="rect">
          <a:avLst/>
        </a:prstGeom>
      </xdr:spPr>
    </xdr:pic>
    <xdr:clientData/>
  </xdr:twoCellAnchor>
  <xdr:twoCellAnchor editAs="oneCell">
    <xdr:from>
      <xdr:col>2</xdr:col>
      <xdr:colOff>4543425</xdr:colOff>
      <xdr:row>0</xdr:row>
      <xdr:rowOff>66675</xdr:rowOff>
    </xdr:from>
    <xdr:to>
      <xdr:col>4</xdr:col>
      <xdr:colOff>180975</xdr:colOff>
      <xdr:row>0</xdr:row>
      <xdr:rowOff>381000</xdr:rowOff>
    </xdr:to>
    <xdr:pic>
      <xdr:nvPicPr>
        <xdr:cNvPr id="5" name="Imagem 4" descr="AGEVAP.png">
          <a:extLst>
            <a:ext uri="{FF2B5EF4-FFF2-40B4-BE49-F238E27FC236}">
              <a16:creationId xmlns:a16="http://schemas.microsoft.com/office/drawing/2014/main" id="{1357B0D3-7811-4F06-986C-25D91074BC3B}"/>
            </a:ext>
          </a:extLst>
        </xdr:cNvPr>
        <xdr:cNvPicPr>
          <a:picLocks noChangeAspect="1"/>
        </xdr:cNvPicPr>
      </xdr:nvPicPr>
      <xdr:blipFill>
        <a:blip xmlns:r="http://schemas.openxmlformats.org/officeDocument/2006/relationships" r:embed="rId2" cstate="print"/>
        <a:stretch>
          <a:fillRect/>
        </a:stretch>
      </xdr:blipFill>
      <xdr:spPr>
        <a:xfrm>
          <a:off x="5581650" y="66675"/>
          <a:ext cx="581025" cy="3143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1</xdr:col>
      <xdr:colOff>329248</xdr:colOff>
      <xdr:row>0</xdr:row>
      <xdr:rowOff>466725</xdr:rowOff>
    </xdr:to>
    <xdr:pic>
      <xdr:nvPicPr>
        <xdr:cNvPr id="4" name="Imagem 3">
          <a:extLst>
            <a:ext uri="{FF2B5EF4-FFF2-40B4-BE49-F238E27FC236}">
              <a16:creationId xmlns:a16="http://schemas.microsoft.com/office/drawing/2014/main" id="{485F278C-38B1-4E42-A82A-1A402DAD783C}"/>
            </a:ext>
          </a:extLst>
        </xdr:cNvPr>
        <xdr:cNvPicPr>
          <a:picLocks noChangeAspect="1"/>
        </xdr:cNvPicPr>
      </xdr:nvPicPr>
      <xdr:blipFill>
        <a:blip xmlns:r="http://schemas.openxmlformats.org/officeDocument/2006/relationships" r:embed="rId1"/>
        <a:stretch>
          <a:fillRect/>
        </a:stretch>
      </xdr:blipFill>
      <xdr:spPr>
        <a:xfrm>
          <a:off x="66675" y="66675"/>
          <a:ext cx="557848" cy="400050"/>
        </a:xfrm>
        <a:prstGeom prst="rect">
          <a:avLst/>
        </a:prstGeom>
      </xdr:spPr>
    </xdr:pic>
    <xdr:clientData/>
  </xdr:twoCellAnchor>
  <xdr:twoCellAnchor editAs="oneCell">
    <xdr:from>
      <xdr:col>2</xdr:col>
      <xdr:colOff>4619625</xdr:colOff>
      <xdr:row>0</xdr:row>
      <xdr:rowOff>85725</xdr:rowOff>
    </xdr:from>
    <xdr:to>
      <xdr:col>3</xdr:col>
      <xdr:colOff>152400</xdr:colOff>
      <xdr:row>0</xdr:row>
      <xdr:rowOff>400050</xdr:rowOff>
    </xdr:to>
    <xdr:pic>
      <xdr:nvPicPr>
        <xdr:cNvPr id="5" name="Imagem 4" descr="AGEVAP.png">
          <a:extLst>
            <a:ext uri="{FF2B5EF4-FFF2-40B4-BE49-F238E27FC236}">
              <a16:creationId xmlns:a16="http://schemas.microsoft.com/office/drawing/2014/main" id="{DA7F9E42-E64F-48C9-A58A-5191E48E74A3}"/>
            </a:ext>
          </a:extLst>
        </xdr:cNvPr>
        <xdr:cNvPicPr>
          <a:picLocks noChangeAspect="1"/>
        </xdr:cNvPicPr>
      </xdr:nvPicPr>
      <xdr:blipFill>
        <a:blip xmlns:r="http://schemas.openxmlformats.org/officeDocument/2006/relationships" r:embed="rId2" cstate="print"/>
        <a:stretch>
          <a:fillRect/>
        </a:stretch>
      </xdr:blipFill>
      <xdr:spPr>
        <a:xfrm>
          <a:off x="5505450" y="85725"/>
          <a:ext cx="581025" cy="3143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57150</xdr:rowOff>
    </xdr:from>
    <xdr:to>
      <xdr:col>0</xdr:col>
      <xdr:colOff>643573</xdr:colOff>
      <xdr:row>0</xdr:row>
      <xdr:rowOff>457200</xdr:rowOff>
    </xdr:to>
    <xdr:pic>
      <xdr:nvPicPr>
        <xdr:cNvPr id="2" name="Imagem 1">
          <a:extLst>
            <a:ext uri="{FF2B5EF4-FFF2-40B4-BE49-F238E27FC236}">
              <a16:creationId xmlns:a16="http://schemas.microsoft.com/office/drawing/2014/main" id="{7C84190E-D3FA-4709-9B8B-245BF524196F}"/>
            </a:ext>
          </a:extLst>
        </xdr:cNvPr>
        <xdr:cNvPicPr>
          <a:picLocks noChangeAspect="1"/>
        </xdr:cNvPicPr>
      </xdr:nvPicPr>
      <xdr:blipFill>
        <a:blip xmlns:r="http://schemas.openxmlformats.org/officeDocument/2006/relationships" r:embed="rId1"/>
        <a:stretch>
          <a:fillRect/>
        </a:stretch>
      </xdr:blipFill>
      <xdr:spPr>
        <a:xfrm>
          <a:off x="85725" y="57150"/>
          <a:ext cx="557848" cy="400050"/>
        </a:xfrm>
        <a:prstGeom prst="rect">
          <a:avLst/>
        </a:prstGeom>
      </xdr:spPr>
    </xdr:pic>
    <xdr:clientData/>
  </xdr:twoCellAnchor>
  <xdr:twoCellAnchor editAs="oneCell">
    <xdr:from>
      <xdr:col>3</xdr:col>
      <xdr:colOff>4132118</xdr:colOff>
      <xdr:row>0</xdr:row>
      <xdr:rowOff>112568</xdr:rowOff>
    </xdr:from>
    <xdr:to>
      <xdr:col>3</xdr:col>
      <xdr:colOff>4713143</xdr:colOff>
      <xdr:row>0</xdr:row>
      <xdr:rowOff>426893</xdr:rowOff>
    </xdr:to>
    <xdr:pic>
      <xdr:nvPicPr>
        <xdr:cNvPr id="3" name="Imagem 2" descr="AGEVAP.png">
          <a:extLst>
            <a:ext uri="{FF2B5EF4-FFF2-40B4-BE49-F238E27FC236}">
              <a16:creationId xmlns:a16="http://schemas.microsoft.com/office/drawing/2014/main" id="{6163B4C9-CFB6-47F4-9996-1A59E6B55F87}"/>
            </a:ext>
          </a:extLst>
        </xdr:cNvPr>
        <xdr:cNvPicPr>
          <a:picLocks noChangeAspect="1"/>
        </xdr:cNvPicPr>
      </xdr:nvPicPr>
      <xdr:blipFill>
        <a:blip xmlns:r="http://schemas.openxmlformats.org/officeDocument/2006/relationships" r:embed="rId2" cstate="print"/>
        <a:stretch>
          <a:fillRect/>
        </a:stretch>
      </xdr:blipFill>
      <xdr:spPr>
        <a:xfrm>
          <a:off x="6859732" y="112568"/>
          <a:ext cx="581025" cy="3143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57150</xdr:rowOff>
    </xdr:from>
    <xdr:to>
      <xdr:col>0</xdr:col>
      <xdr:colOff>643573</xdr:colOff>
      <xdr:row>0</xdr:row>
      <xdr:rowOff>457200</xdr:rowOff>
    </xdr:to>
    <xdr:pic>
      <xdr:nvPicPr>
        <xdr:cNvPr id="2" name="Imagem 1">
          <a:extLst>
            <a:ext uri="{FF2B5EF4-FFF2-40B4-BE49-F238E27FC236}">
              <a16:creationId xmlns:a16="http://schemas.microsoft.com/office/drawing/2014/main" id="{716C0BFD-791E-4715-B8F3-240C59BEAD4B}"/>
            </a:ext>
          </a:extLst>
        </xdr:cNvPr>
        <xdr:cNvPicPr>
          <a:picLocks noChangeAspect="1"/>
        </xdr:cNvPicPr>
      </xdr:nvPicPr>
      <xdr:blipFill>
        <a:blip xmlns:r="http://schemas.openxmlformats.org/officeDocument/2006/relationships" r:embed="rId1"/>
        <a:stretch>
          <a:fillRect/>
        </a:stretch>
      </xdr:blipFill>
      <xdr:spPr>
        <a:xfrm>
          <a:off x="85725" y="57150"/>
          <a:ext cx="557848" cy="400050"/>
        </a:xfrm>
        <a:prstGeom prst="rect">
          <a:avLst/>
        </a:prstGeom>
      </xdr:spPr>
    </xdr:pic>
    <xdr:clientData/>
  </xdr:twoCellAnchor>
  <xdr:twoCellAnchor editAs="oneCell">
    <xdr:from>
      <xdr:col>4</xdr:col>
      <xdr:colOff>104775</xdr:colOff>
      <xdr:row>0</xdr:row>
      <xdr:rowOff>104775</xdr:rowOff>
    </xdr:from>
    <xdr:to>
      <xdr:col>4</xdr:col>
      <xdr:colOff>685800</xdr:colOff>
      <xdr:row>0</xdr:row>
      <xdr:rowOff>419100</xdr:rowOff>
    </xdr:to>
    <xdr:pic>
      <xdr:nvPicPr>
        <xdr:cNvPr id="3" name="Imagem 2" descr="AGEVAP.png">
          <a:extLst>
            <a:ext uri="{FF2B5EF4-FFF2-40B4-BE49-F238E27FC236}">
              <a16:creationId xmlns:a16="http://schemas.microsoft.com/office/drawing/2014/main" id="{3B9865D8-8772-4E32-BD44-4B8915E67459}"/>
            </a:ext>
          </a:extLst>
        </xdr:cNvPr>
        <xdr:cNvPicPr>
          <a:picLocks noChangeAspect="1"/>
        </xdr:cNvPicPr>
      </xdr:nvPicPr>
      <xdr:blipFill>
        <a:blip xmlns:r="http://schemas.openxmlformats.org/officeDocument/2006/relationships" r:embed="rId2" cstate="print"/>
        <a:stretch>
          <a:fillRect/>
        </a:stretch>
      </xdr:blipFill>
      <xdr:spPr>
        <a:xfrm>
          <a:off x="7781925" y="104775"/>
          <a:ext cx="581025" cy="3143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57150</xdr:rowOff>
    </xdr:from>
    <xdr:to>
      <xdr:col>0</xdr:col>
      <xdr:colOff>643573</xdr:colOff>
      <xdr:row>0</xdr:row>
      <xdr:rowOff>457200</xdr:rowOff>
    </xdr:to>
    <xdr:pic>
      <xdr:nvPicPr>
        <xdr:cNvPr id="4" name="Imagem 3">
          <a:extLst>
            <a:ext uri="{FF2B5EF4-FFF2-40B4-BE49-F238E27FC236}">
              <a16:creationId xmlns:a16="http://schemas.microsoft.com/office/drawing/2014/main" id="{B69A1A47-1B2D-4F1A-AE50-85A4A836B456}"/>
            </a:ext>
          </a:extLst>
        </xdr:cNvPr>
        <xdr:cNvPicPr>
          <a:picLocks noChangeAspect="1"/>
        </xdr:cNvPicPr>
      </xdr:nvPicPr>
      <xdr:blipFill>
        <a:blip xmlns:r="http://schemas.openxmlformats.org/officeDocument/2006/relationships" r:embed="rId1"/>
        <a:stretch>
          <a:fillRect/>
        </a:stretch>
      </xdr:blipFill>
      <xdr:spPr>
        <a:xfrm>
          <a:off x="85725" y="57150"/>
          <a:ext cx="557848" cy="400050"/>
        </a:xfrm>
        <a:prstGeom prst="rect">
          <a:avLst/>
        </a:prstGeom>
      </xdr:spPr>
    </xdr:pic>
    <xdr:clientData/>
  </xdr:twoCellAnchor>
  <xdr:twoCellAnchor editAs="oneCell">
    <xdr:from>
      <xdr:col>9</xdr:col>
      <xdr:colOff>209550</xdr:colOff>
      <xdr:row>0</xdr:row>
      <xdr:rowOff>95250</xdr:rowOff>
    </xdr:from>
    <xdr:to>
      <xdr:col>9</xdr:col>
      <xdr:colOff>790575</xdr:colOff>
      <xdr:row>0</xdr:row>
      <xdr:rowOff>409575</xdr:rowOff>
    </xdr:to>
    <xdr:pic>
      <xdr:nvPicPr>
        <xdr:cNvPr id="5" name="Imagem 4" descr="AGEVAP.png">
          <a:extLst>
            <a:ext uri="{FF2B5EF4-FFF2-40B4-BE49-F238E27FC236}">
              <a16:creationId xmlns:a16="http://schemas.microsoft.com/office/drawing/2014/main" id="{176DCE45-0D4C-493B-9746-071C3DF87BEB}"/>
            </a:ext>
          </a:extLst>
        </xdr:cNvPr>
        <xdr:cNvPicPr>
          <a:picLocks noChangeAspect="1"/>
        </xdr:cNvPicPr>
      </xdr:nvPicPr>
      <xdr:blipFill>
        <a:blip xmlns:r="http://schemas.openxmlformats.org/officeDocument/2006/relationships" r:embed="rId2" cstate="print"/>
        <a:stretch>
          <a:fillRect/>
        </a:stretch>
      </xdr:blipFill>
      <xdr:spPr>
        <a:xfrm>
          <a:off x="12125325" y="95250"/>
          <a:ext cx="581025" cy="31432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51"/>
  <sheetViews>
    <sheetView zoomScale="87" workbookViewId="0"/>
  </sheetViews>
  <sheetFormatPr defaultColWidth="8.75" defaultRowHeight="14.25"/>
  <cols>
    <col min="1" max="16384" width="8.75" style="1"/>
  </cols>
  <sheetData>
    <row r="1" spans="1:9">
      <c r="A1" s="3"/>
      <c r="B1" s="4"/>
      <c r="C1" s="4"/>
      <c r="D1" s="4"/>
      <c r="E1" s="4"/>
      <c r="F1" s="4"/>
      <c r="G1" s="4"/>
      <c r="H1" s="4"/>
      <c r="I1" s="5"/>
    </row>
    <row r="2" spans="1:9">
      <c r="A2" s="6"/>
      <c r="B2" s="2"/>
      <c r="C2" s="2"/>
      <c r="D2" s="2"/>
      <c r="E2" s="2"/>
      <c r="F2" s="2"/>
      <c r="G2" s="2"/>
      <c r="H2" s="2"/>
      <c r="I2" s="7"/>
    </row>
    <row r="3" spans="1:9">
      <c r="A3" s="6"/>
      <c r="B3" s="2"/>
      <c r="C3" s="2"/>
      <c r="D3" s="2"/>
      <c r="E3" s="2"/>
      <c r="F3" s="2"/>
      <c r="G3" s="2"/>
      <c r="H3" s="2"/>
      <c r="I3" s="7"/>
    </row>
    <row r="4" spans="1:9">
      <c r="A4" s="6"/>
      <c r="B4" s="2"/>
      <c r="C4" s="2"/>
      <c r="D4" s="2"/>
      <c r="E4" s="2"/>
      <c r="F4" s="2"/>
      <c r="G4" s="2"/>
      <c r="H4" s="2"/>
      <c r="I4" s="7"/>
    </row>
    <row r="5" spans="1:9">
      <c r="A5" s="6"/>
      <c r="B5" s="2"/>
      <c r="C5" s="2"/>
      <c r="D5" s="2"/>
      <c r="E5" s="2"/>
      <c r="F5" s="2"/>
      <c r="G5" s="2"/>
      <c r="H5" s="2"/>
      <c r="I5" s="7"/>
    </row>
    <row r="6" spans="1:9">
      <c r="A6" s="6"/>
      <c r="B6" s="2"/>
      <c r="C6" s="2"/>
      <c r="D6" s="2"/>
      <c r="E6" s="2"/>
      <c r="F6" s="2"/>
      <c r="G6" s="2"/>
      <c r="H6" s="2"/>
      <c r="I6" s="7"/>
    </row>
    <row r="7" spans="1:9">
      <c r="A7" s="6"/>
      <c r="B7" s="2"/>
      <c r="C7" s="2"/>
      <c r="D7" s="2"/>
      <c r="E7" s="2"/>
      <c r="F7" s="2"/>
      <c r="G7" s="2"/>
      <c r="H7" s="2"/>
      <c r="I7" s="7"/>
    </row>
    <row r="8" spans="1:9">
      <c r="A8" s="6"/>
      <c r="B8" s="2"/>
      <c r="C8" s="2"/>
      <c r="D8" s="2"/>
      <c r="E8" s="2"/>
      <c r="F8" s="2"/>
      <c r="G8" s="2"/>
      <c r="H8" s="2"/>
      <c r="I8" s="7"/>
    </row>
    <row r="9" spans="1:9">
      <c r="A9" s="6"/>
      <c r="B9" s="2"/>
      <c r="C9" s="2"/>
      <c r="D9" s="2"/>
      <c r="E9" s="2"/>
      <c r="F9" s="2"/>
      <c r="G9" s="2"/>
      <c r="H9" s="2"/>
      <c r="I9" s="7"/>
    </row>
    <row r="10" spans="1:9">
      <c r="A10" s="6"/>
      <c r="B10" s="2"/>
      <c r="C10" s="2"/>
      <c r="D10" s="2"/>
      <c r="E10" s="2"/>
      <c r="F10" s="2"/>
      <c r="G10" s="2"/>
      <c r="H10" s="2"/>
      <c r="I10" s="7"/>
    </row>
    <row r="11" spans="1:9">
      <c r="A11" s="6"/>
      <c r="B11" s="2"/>
      <c r="C11" s="2"/>
      <c r="D11" s="2"/>
      <c r="E11" s="2"/>
      <c r="F11" s="2"/>
      <c r="G11" s="2"/>
      <c r="H11" s="2"/>
      <c r="I11" s="7"/>
    </row>
    <row r="12" spans="1:9">
      <c r="A12" s="6"/>
      <c r="B12" s="2"/>
      <c r="C12" s="2"/>
      <c r="D12" s="2"/>
      <c r="E12" s="2"/>
      <c r="F12" s="2"/>
      <c r="G12" s="2"/>
      <c r="H12" s="2"/>
      <c r="I12" s="7"/>
    </row>
    <row r="13" spans="1:9">
      <c r="A13" s="6"/>
      <c r="B13" s="2"/>
      <c r="C13" s="2"/>
      <c r="D13" s="2"/>
      <c r="E13" s="2"/>
      <c r="F13" s="2"/>
      <c r="G13" s="2"/>
      <c r="H13" s="2"/>
      <c r="I13" s="7"/>
    </row>
    <row r="14" spans="1:9">
      <c r="A14" s="6"/>
      <c r="B14" s="2"/>
      <c r="C14" s="2"/>
      <c r="D14" s="2"/>
      <c r="E14" s="2"/>
      <c r="F14" s="2"/>
      <c r="G14" s="2"/>
      <c r="H14" s="2"/>
      <c r="I14" s="7"/>
    </row>
    <row r="15" spans="1:9">
      <c r="A15" s="6"/>
      <c r="B15" s="2"/>
      <c r="C15" s="2"/>
      <c r="D15" s="2"/>
      <c r="E15" s="2"/>
      <c r="F15" s="2"/>
      <c r="G15" s="2"/>
      <c r="H15" s="2"/>
      <c r="I15" s="7"/>
    </row>
    <row r="16" spans="1:9">
      <c r="A16" s="6"/>
      <c r="B16" s="2"/>
      <c r="C16" s="2"/>
      <c r="D16" s="2"/>
      <c r="E16" s="2"/>
      <c r="F16" s="2"/>
      <c r="G16" s="2"/>
      <c r="H16" s="2"/>
      <c r="I16" s="7"/>
    </row>
    <row r="17" spans="1:9">
      <c r="A17" s="6"/>
      <c r="B17" s="2"/>
      <c r="C17" s="2"/>
      <c r="D17" s="2"/>
      <c r="E17" s="2"/>
      <c r="F17" s="2"/>
      <c r="G17" s="2"/>
      <c r="H17" s="2"/>
      <c r="I17" s="7"/>
    </row>
    <row r="18" spans="1:9">
      <c r="A18" s="6"/>
      <c r="B18" s="2"/>
      <c r="C18" s="2"/>
      <c r="D18" s="2"/>
      <c r="E18" s="2"/>
      <c r="F18" s="2"/>
      <c r="G18" s="2"/>
      <c r="H18" s="2"/>
      <c r="I18" s="7"/>
    </row>
    <row r="19" spans="1:9">
      <c r="A19" s="6"/>
      <c r="B19" s="2"/>
      <c r="C19" s="2"/>
      <c r="D19" s="2"/>
      <c r="E19" s="2"/>
      <c r="F19" s="2"/>
      <c r="G19" s="2"/>
      <c r="H19" s="2"/>
      <c r="I19" s="7"/>
    </row>
    <row r="20" spans="1:9">
      <c r="A20" s="6"/>
      <c r="B20" s="2"/>
      <c r="C20" s="2"/>
      <c r="D20" s="2"/>
      <c r="E20" s="2"/>
      <c r="F20" s="2"/>
      <c r="G20" s="2"/>
      <c r="H20" s="2"/>
      <c r="I20" s="7"/>
    </row>
    <row r="21" spans="1:9">
      <c r="A21" s="6"/>
      <c r="B21" s="2"/>
      <c r="C21" s="2"/>
      <c r="D21" s="2"/>
      <c r="E21" s="2"/>
      <c r="F21" s="2"/>
      <c r="G21" s="2"/>
      <c r="H21" s="2"/>
      <c r="I21" s="7"/>
    </row>
    <row r="22" spans="1:9">
      <c r="A22" s="6"/>
      <c r="B22" s="799" t="s">
        <v>963</v>
      </c>
      <c r="C22" s="799"/>
      <c r="D22" s="799"/>
      <c r="E22" s="799"/>
      <c r="F22" s="799"/>
      <c r="G22" s="799"/>
      <c r="H22" s="799"/>
      <c r="I22" s="7"/>
    </row>
    <row r="23" spans="1:9">
      <c r="A23" s="6"/>
      <c r="B23" s="799"/>
      <c r="C23" s="799"/>
      <c r="D23" s="799"/>
      <c r="E23" s="799"/>
      <c r="F23" s="799"/>
      <c r="G23" s="799"/>
      <c r="H23" s="799"/>
      <c r="I23" s="7"/>
    </row>
    <row r="24" spans="1:9">
      <c r="A24" s="6"/>
      <c r="B24" s="799"/>
      <c r="C24" s="799"/>
      <c r="D24" s="799"/>
      <c r="E24" s="799"/>
      <c r="F24" s="799"/>
      <c r="G24" s="799"/>
      <c r="H24" s="799"/>
      <c r="I24" s="7"/>
    </row>
    <row r="25" spans="1:9" ht="14.25" customHeight="1">
      <c r="A25" s="6"/>
      <c r="B25" s="799" t="s">
        <v>891</v>
      </c>
      <c r="C25" s="799"/>
      <c r="D25" s="799"/>
      <c r="E25" s="799"/>
      <c r="F25" s="799"/>
      <c r="G25" s="799"/>
      <c r="H25" s="799"/>
      <c r="I25" s="7"/>
    </row>
    <row r="26" spans="1:9" ht="14.25" customHeight="1">
      <c r="A26" s="6"/>
      <c r="B26" s="799"/>
      <c r="C26" s="799"/>
      <c r="D26" s="799"/>
      <c r="E26" s="799"/>
      <c r="F26" s="799"/>
      <c r="G26" s="799"/>
      <c r="H26" s="799"/>
      <c r="I26" s="7"/>
    </row>
    <row r="27" spans="1:9" ht="13.9" customHeight="1">
      <c r="A27" s="6"/>
      <c r="B27" s="799"/>
      <c r="C27" s="799"/>
      <c r="D27" s="799"/>
      <c r="E27" s="799"/>
      <c r="F27" s="799"/>
      <c r="G27" s="799"/>
      <c r="H27" s="799"/>
      <c r="I27" s="7"/>
    </row>
    <row r="28" spans="1:9" ht="13.9" customHeight="1">
      <c r="A28" s="6"/>
      <c r="B28" s="795"/>
      <c r="C28" s="795"/>
      <c r="D28" s="795"/>
      <c r="E28" s="795"/>
      <c r="F28" s="795"/>
      <c r="G28" s="795"/>
      <c r="H28" s="795"/>
      <c r="I28" s="7"/>
    </row>
    <row r="29" spans="1:9" ht="13.9" customHeight="1">
      <c r="A29" s="6"/>
      <c r="B29" s="795"/>
      <c r="C29" s="795"/>
      <c r="D29" s="795"/>
      <c r="E29" s="795"/>
      <c r="F29" s="795"/>
      <c r="G29" s="795"/>
      <c r="H29" s="795"/>
      <c r="I29" s="7"/>
    </row>
    <row r="30" spans="1:9" ht="13.9" customHeight="1">
      <c r="A30" s="6"/>
      <c r="B30" s="795"/>
      <c r="C30" s="795"/>
      <c r="D30" s="795"/>
      <c r="E30" s="795"/>
      <c r="F30" s="795"/>
      <c r="G30" s="795"/>
      <c r="H30" s="795"/>
      <c r="I30" s="7"/>
    </row>
    <row r="31" spans="1:9" ht="18.75">
      <c r="A31" s="6"/>
      <c r="B31" s="795"/>
      <c r="C31" s="795"/>
      <c r="D31" s="795"/>
      <c r="E31" s="795"/>
      <c r="F31" s="795"/>
      <c r="G31" s="795"/>
      <c r="H31" s="795"/>
      <c r="I31" s="7"/>
    </row>
    <row r="32" spans="1:9" ht="18.75">
      <c r="A32" s="6"/>
      <c r="B32" s="795"/>
      <c r="C32" s="795"/>
      <c r="D32" s="795"/>
      <c r="E32" s="795"/>
      <c r="F32" s="795"/>
      <c r="G32" s="795"/>
      <c r="H32" s="795"/>
      <c r="I32" s="7"/>
    </row>
    <row r="33" spans="1:9">
      <c r="A33" s="6"/>
      <c r="B33" s="2"/>
      <c r="C33" s="2"/>
      <c r="D33" s="2"/>
      <c r="E33" s="2"/>
      <c r="F33" s="2"/>
      <c r="G33" s="2"/>
      <c r="H33" s="2"/>
      <c r="I33" s="7"/>
    </row>
    <row r="34" spans="1:9">
      <c r="A34" s="6"/>
      <c r="B34" s="2"/>
      <c r="C34" s="2"/>
      <c r="D34" s="2"/>
      <c r="E34" s="2"/>
      <c r="F34" s="2"/>
      <c r="G34" s="2"/>
      <c r="H34" s="2"/>
      <c r="I34" s="7"/>
    </row>
    <row r="35" spans="1:9">
      <c r="A35" s="6"/>
      <c r="B35" s="2"/>
      <c r="C35" s="2"/>
      <c r="D35" s="2"/>
      <c r="E35" s="2"/>
      <c r="F35" s="2"/>
      <c r="G35" s="2"/>
      <c r="H35" s="2"/>
      <c r="I35" s="7"/>
    </row>
    <row r="36" spans="1:9">
      <c r="A36" s="6"/>
      <c r="B36" s="2"/>
      <c r="C36" s="2"/>
      <c r="D36" s="2"/>
      <c r="E36" s="2"/>
      <c r="F36" s="2"/>
      <c r="G36" s="2"/>
      <c r="H36" s="2"/>
      <c r="I36" s="7"/>
    </row>
    <row r="37" spans="1:9">
      <c r="A37" s="6"/>
      <c r="B37" s="2"/>
      <c r="C37" s="2"/>
      <c r="D37" s="2"/>
      <c r="E37" s="2"/>
      <c r="F37" s="2"/>
      <c r="G37" s="2"/>
      <c r="H37" s="2"/>
      <c r="I37" s="7"/>
    </row>
    <row r="38" spans="1:9">
      <c r="A38" s="6"/>
      <c r="B38" s="2"/>
      <c r="C38" s="2"/>
      <c r="D38" s="2"/>
      <c r="E38" s="2"/>
      <c r="F38" s="2"/>
      <c r="G38" s="2"/>
      <c r="H38" s="2"/>
      <c r="I38" s="7"/>
    </row>
    <row r="39" spans="1:9">
      <c r="A39" s="6"/>
      <c r="B39" s="2"/>
      <c r="C39" s="2"/>
      <c r="D39" s="2"/>
      <c r="E39" s="2"/>
      <c r="F39" s="2"/>
      <c r="G39" s="2"/>
      <c r="H39" s="2"/>
      <c r="I39" s="7"/>
    </row>
    <row r="40" spans="1:9">
      <c r="A40" s="6"/>
      <c r="B40" s="2"/>
      <c r="C40" s="2"/>
      <c r="D40" s="2"/>
      <c r="E40" s="2"/>
      <c r="F40" s="2"/>
      <c r="G40" s="2"/>
      <c r="H40" s="2"/>
      <c r="I40" s="7"/>
    </row>
    <row r="41" spans="1:9">
      <c r="A41" s="6"/>
      <c r="B41" s="2"/>
      <c r="C41" s="2"/>
      <c r="D41" s="2"/>
      <c r="E41" s="2"/>
      <c r="F41" s="2"/>
      <c r="G41" s="2"/>
      <c r="H41" s="2"/>
      <c r="I41" s="7"/>
    </row>
    <row r="42" spans="1:9">
      <c r="A42" s="6"/>
      <c r="B42" s="2"/>
      <c r="C42" s="2"/>
      <c r="D42" s="2"/>
      <c r="E42" s="2"/>
      <c r="F42" s="2"/>
      <c r="G42" s="2"/>
      <c r="H42" s="2"/>
      <c r="I42" s="7"/>
    </row>
    <row r="43" spans="1:9">
      <c r="A43" s="6"/>
      <c r="B43" s="2"/>
      <c r="C43" s="2"/>
      <c r="D43" s="2"/>
      <c r="E43" s="2"/>
      <c r="F43" s="2"/>
      <c r="G43" s="2"/>
      <c r="H43" s="2"/>
      <c r="I43" s="7"/>
    </row>
    <row r="44" spans="1:9">
      <c r="A44" s="6"/>
      <c r="B44" s="2"/>
      <c r="C44" s="2"/>
      <c r="D44" s="2"/>
      <c r="E44" s="2"/>
      <c r="F44" s="2"/>
      <c r="G44" s="2"/>
      <c r="H44" s="2"/>
      <c r="I44" s="7"/>
    </row>
    <row r="45" spans="1:9">
      <c r="A45" s="6"/>
      <c r="B45" s="2"/>
      <c r="C45" s="2"/>
      <c r="D45" s="2"/>
      <c r="E45" s="2"/>
      <c r="F45" s="2"/>
      <c r="G45" s="2"/>
      <c r="H45" s="2"/>
      <c r="I45" s="7"/>
    </row>
    <row r="46" spans="1:9">
      <c r="A46" s="6"/>
      <c r="B46" s="2"/>
      <c r="C46" s="2"/>
      <c r="D46" s="2"/>
      <c r="E46" s="2"/>
      <c r="F46" s="2"/>
      <c r="G46" s="2"/>
      <c r="H46" s="2"/>
      <c r="I46" s="7"/>
    </row>
    <row r="47" spans="1:9">
      <c r="A47" s="6"/>
      <c r="B47" s="2"/>
      <c r="C47" s="2"/>
      <c r="D47" s="2"/>
      <c r="E47" s="2"/>
      <c r="F47" s="2"/>
      <c r="G47" s="2"/>
      <c r="H47" s="2"/>
      <c r="I47" s="7"/>
    </row>
    <row r="48" spans="1:9">
      <c r="A48" s="6"/>
      <c r="B48" s="2"/>
      <c r="C48" s="2"/>
      <c r="D48" s="2"/>
      <c r="E48" s="2"/>
      <c r="F48" s="2"/>
      <c r="G48" s="2"/>
      <c r="H48" s="2"/>
      <c r="I48" s="7"/>
    </row>
    <row r="49" spans="1:9">
      <c r="A49" s="6"/>
      <c r="B49" s="2"/>
      <c r="C49" s="2"/>
      <c r="D49" s="801" t="s">
        <v>957</v>
      </c>
      <c r="E49" s="800"/>
      <c r="F49" s="800"/>
      <c r="G49" s="2"/>
      <c r="H49" s="2"/>
      <c r="I49" s="7"/>
    </row>
    <row r="50" spans="1:9">
      <c r="A50" s="6"/>
      <c r="B50" s="2"/>
      <c r="C50" s="2"/>
      <c r="D50" s="800"/>
      <c r="E50" s="800"/>
      <c r="F50" s="800"/>
      <c r="G50" s="2"/>
      <c r="H50" s="2"/>
      <c r="I50" s="7"/>
    </row>
    <row r="51" spans="1:9" ht="15" thickBot="1">
      <c r="A51" s="8"/>
      <c r="B51" s="9"/>
      <c r="C51" s="9"/>
      <c r="D51" s="9"/>
      <c r="E51" s="9"/>
      <c r="F51" s="9"/>
      <c r="G51" s="9"/>
      <c r="H51" s="9"/>
      <c r="I51" s="10"/>
    </row>
  </sheetData>
  <mergeCells count="4">
    <mergeCell ref="B22:H24"/>
    <mergeCell ref="D50:F50"/>
    <mergeCell ref="D49:F49"/>
    <mergeCell ref="B25:H27"/>
  </mergeCells>
  <phoneticPr fontId="16" type="noConversion"/>
  <printOptions horizontalCentered="1"/>
  <pageMargins left="0.51181102362204722" right="0.51181102362204722" top="0.78740157480314965" bottom="0.78740157480314965"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3"/>
  <sheetViews>
    <sheetView zoomScaleNormal="100" workbookViewId="0">
      <selection activeCell="E40" sqref="E40"/>
    </sheetView>
  </sheetViews>
  <sheetFormatPr defaultRowHeight="14.25"/>
  <cols>
    <col min="1" max="1" width="21.5" style="666" customWidth="1"/>
    <col min="2" max="3" width="11.125" style="666" customWidth="1"/>
    <col min="4" max="4" width="5.875" style="666" customWidth="1"/>
    <col min="5" max="5" width="4.125" style="666" customWidth="1"/>
    <col min="6" max="6" width="11.125" style="666" customWidth="1"/>
    <col min="7" max="7" width="1.5" style="666" customWidth="1"/>
    <col min="8" max="8" width="4.125" style="666" customWidth="1"/>
    <col min="9" max="9" width="11.125" style="666" customWidth="1"/>
    <col min="10" max="10" width="1.5" style="666" customWidth="1"/>
    <col min="11" max="11" width="4.125" style="666" customWidth="1"/>
    <col min="12" max="12" width="11.125" style="666" customWidth="1"/>
    <col min="13" max="13" width="1.5" style="666" customWidth="1"/>
    <col min="14" max="14" width="4.125" style="666" customWidth="1"/>
    <col min="15" max="15" width="11.125" style="666" customWidth="1"/>
    <col min="16" max="16" width="1.5" style="666" customWidth="1"/>
    <col min="17" max="17" width="4.125" style="666" customWidth="1"/>
    <col min="18" max="18" width="11.125" style="666" customWidth="1"/>
    <col min="19" max="19" width="30.25" style="666" customWidth="1"/>
    <col min="20" max="20" width="12.625" style="666" customWidth="1"/>
    <col min="21" max="21" width="12.5" style="666" bestFit="1" customWidth="1"/>
    <col min="22" max="22" width="11.5" style="666" customWidth="1"/>
    <col min="23" max="23" width="12.25" style="666" customWidth="1"/>
    <col min="24" max="16384" width="9" style="666"/>
  </cols>
  <sheetData>
    <row r="1" spans="1:18" ht="39.950000000000003" customHeight="1">
      <c r="A1" s="872" t="s">
        <v>838</v>
      </c>
      <c r="B1" s="872"/>
      <c r="C1" s="872"/>
      <c r="D1" s="872"/>
      <c r="E1" s="872"/>
      <c r="F1" s="872"/>
      <c r="G1" s="872"/>
      <c r="H1" s="872"/>
      <c r="I1" s="872"/>
      <c r="J1" s="872"/>
      <c r="K1" s="872"/>
      <c r="L1" s="872"/>
      <c r="M1" s="872"/>
      <c r="N1" s="872"/>
      <c r="O1" s="872"/>
      <c r="P1" s="872"/>
      <c r="Q1" s="872"/>
      <c r="R1" s="872"/>
    </row>
    <row r="2" spans="1:18" ht="20.100000000000001" customHeight="1">
      <c r="A2" s="668" t="s">
        <v>4</v>
      </c>
      <c r="B2" s="667" t="s">
        <v>173</v>
      </c>
      <c r="C2" s="667" t="s">
        <v>839</v>
      </c>
      <c r="D2" s="667" t="s">
        <v>840</v>
      </c>
      <c r="E2" s="667" t="s">
        <v>841</v>
      </c>
      <c r="F2" s="667">
        <v>2021</v>
      </c>
      <c r="G2" s="669"/>
      <c r="H2" s="667" t="s">
        <v>841</v>
      </c>
      <c r="I2" s="667">
        <v>2022</v>
      </c>
      <c r="J2" s="669"/>
      <c r="K2" s="667"/>
      <c r="L2" s="667">
        <v>2023</v>
      </c>
      <c r="M2" s="669"/>
      <c r="N2" s="667"/>
      <c r="O2" s="667">
        <v>2024</v>
      </c>
      <c r="P2" s="669"/>
      <c r="Q2" s="667"/>
      <c r="R2" s="667">
        <v>2025</v>
      </c>
    </row>
    <row r="3" spans="1:18" ht="20.100000000000001" customHeight="1">
      <c r="G3" s="669"/>
      <c r="J3" s="669"/>
      <c r="M3" s="669"/>
      <c r="P3" s="669"/>
    </row>
    <row r="4" spans="1:18" ht="20.100000000000001" customHeight="1">
      <c r="A4" s="670"/>
      <c r="B4" s="671"/>
      <c r="C4" s="672">
        <v>65430000</v>
      </c>
      <c r="D4" s="673">
        <v>0.04</v>
      </c>
      <c r="E4" s="674"/>
      <c r="F4" s="674">
        <v>13164388</v>
      </c>
      <c r="G4" s="675"/>
      <c r="H4" s="674"/>
      <c r="I4" s="674">
        <f>F4*(1+$D$4)</f>
        <v>13690963.52</v>
      </c>
      <c r="J4" s="675"/>
      <c r="K4" s="674"/>
      <c r="L4" s="674">
        <f>I4*(1+$D$4)</f>
        <v>14238602.060799999</v>
      </c>
      <c r="M4" s="675"/>
      <c r="N4" s="674"/>
      <c r="O4" s="674">
        <f>L4*(1+$D$4)</f>
        <v>14808146.143231999</v>
      </c>
      <c r="P4" s="675"/>
      <c r="Q4" s="674"/>
      <c r="R4" s="674">
        <f>O4*(1+$D$4)</f>
        <v>15400471.988961279</v>
      </c>
    </row>
    <row r="5" spans="1:18" ht="20.100000000000001" customHeight="1">
      <c r="A5" s="670"/>
      <c r="B5" s="671"/>
      <c r="C5" s="676"/>
      <c r="D5" s="673"/>
      <c r="E5" s="674"/>
      <c r="F5" s="674">
        <v>1583287.76</v>
      </c>
      <c r="G5" s="675"/>
      <c r="H5" s="674"/>
      <c r="I5" s="674">
        <v>1583287.76</v>
      </c>
      <c r="J5" s="675"/>
      <c r="K5" s="674"/>
      <c r="L5" s="674">
        <v>1583287.76</v>
      </c>
      <c r="M5" s="675"/>
      <c r="N5" s="674"/>
      <c r="O5" s="674">
        <v>1583287.76</v>
      </c>
      <c r="P5" s="675"/>
      <c r="Q5" s="674"/>
      <c r="R5" s="674">
        <v>1583287.76</v>
      </c>
    </row>
    <row r="6" spans="1:18" ht="20.100000000000001" customHeight="1">
      <c r="A6" s="670" t="s">
        <v>842</v>
      </c>
      <c r="B6" s="671">
        <f>C6+(F6+I6+L6+O6+R6)+(5*E6)</f>
        <v>144649010.51299328</v>
      </c>
      <c r="C6" s="676">
        <v>65430000</v>
      </c>
      <c r="D6" s="673"/>
      <c r="E6" s="674"/>
      <c r="F6" s="674">
        <f>F4+F5</f>
        <v>14747675.76</v>
      </c>
      <c r="G6" s="675"/>
      <c r="H6" s="674"/>
      <c r="I6" s="674">
        <f>I4+I5</f>
        <v>15274251.279999999</v>
      </c>
      <c r="J6" s="675"/>
      <c r="K6" s="674"/>
      <c r="L6" s="674">
        <f>L4+L5</f>
        <v>15821889.820799999</v>
      </c>
      <c r="M6" s="675"/>
      <c r="N6" s="674"/>
      <c r="O6" s="674">
        <f>O4+O5</f>
        <v>16391433.903231999</v>
      </c>
      <c r="P6" s="675"/>
      <c r="Q6" s="674"/>
      <c r="R6" s="674">
        <f>R4+R5</f>
        <v>16983759.748961281</v>
      </c>
    </row>
    <row r="7" spans="1:18" ht="20.100000000000001" customHeight="1">
      <c r="A7" s="670"/>
      <c r="B7" s="671"/>
      <c r="C7" s="676"/>
      <c r="D7" s="673"/>
      <c r="E7" s="674"/>
      <c r="F7" s="674"/>
      <c r="G7" s="675"/>
      <c r="H7" s="674"/>
      <c r="I7" s="674"/>
      <c r="J7" s="675"/>
      <c r="K7" s="674"/>
      <c r="L7" s="674"/>
      <c r="M7" s="675"/>
      <c r="N7" s="674"/>
      <c r="O7" s="674"/>
      <c r="P7" s="675"/>
      <c r="Q7" s="674"/>
      <c r="R7" s="674"/>
    </row>
    <row r="8" spans="1:18" ht="20.100000000000001" customHeight="1">
      <c r="A8" s="677" t="s">
        <v>843</v>
      </c>
      <c r="B8" s="671"/>
      <c r="C8" s="676"/>
      <c r="D8" s="673"/>
      <c r="E8" s="674"/>
      <c r="F8" s="678">
        <f>F6+C6</f>
        <v>80177675.760000005</v>
      </c>
      <c r="G8" s="675"/>
      <c r="H8" s="674"/>
      <c r="I8" s="678">
        <f>F10+I6</f>
        <v>54271727.040000007</v>
      </c>
      <c r="J8" s="675"/>
      <c r="K8" s="674"/>
      <c r="L8" s="678">
        <f>I10+L6</f>
        <v>50093616.860800005</v>
      </c>
      <c r="M8" s="675"/>
      <c r="N8" s="674"/>
      <c r="O8" s="678">
        <f>L10+O6</f>
        <v>46485050.764032006</v>
      </c>
      <c r="P8" s="675"/>
      <c r="Q8" s="674"/>
      <c r="R8" s="678">
        <f>O10+R6</f>
        <v>43468810.512993291</v>
      </c>
    </row>
    <row r="9" spans="1:18" ht="20.100000000000001" customHeight="1">
      <c r="A9" s="679" t="s">
        <v>844</v>
      </c>
      <c r="B9" s="671">
        <f>(F9+I9+L9+O9+R9)</f>
        <v>121180200</v>
      </c>
      <c r="C9" s="673"/>
      <c r="D9" s="673"/>
      <c r="E9" s="680">
        <v>4</v>
      </c>
      <c r="F9" s="681">
        <f>'POA 2021 Resumido'!E14</f>
        <v>41180200</v>
      </c>
      <c r="G9" s="675"/>
      <c r="H9" s="680">
        <v>4</v>
      </c>
      <c r="I9" s="681">
        <f>$B$11*H9</f>
        <v>20000000</v>
      </c>
      <c r="J9" s="675"/>
      <c r="K9" s="680">
        <v>4</v>
      </c>
      <c r="L9" s="681">
        <f>$B$11*K9</f>
        <v>20000000</v>
      </c>
      <c r="M9" s="675"/>
      <c r="N9" s="680">
        <v>4</v>
      </c>
      <c r="O9" s="681">
        <f>$B$11*N9</f>
        <v>20000000</v>
      </c>
      <c r="P9" s="675"/>
      <c r="Q9" s="680">
        <v>4</v>
      </c>
      <c r="R9" s="681">
        <f>$B$11*Q9</f>
        <v>20000000</v>
      </c>
    </row>
    <row r="10" spans="1:18" ht="20.100000000000001" customHeight="1">
      <c r="A10" s="670" t="s">
        <v>845</v>
      </c>
      <c r="B10" s="671"/>
      <c r="C10" s="676"/>
      <c r="D10" s="673"/>
      <c r="E10" s="674"/>
      <c r="F10" s="687">
        <f>F8-F9</f>
        <v>38997475.760000005</v>
      </c>
      <c r="G10" s="675"/>
      <c r="H10" s="674"/>
      <c r="I10" s="687">
        <f>I8-I9</f>
        <v>34271727.040000007</v>
      </c>
      <c r="J10" s="675"/>
      <c r="K10" s="674"/>
      <c r="L10" s="687">
        <f>L8-L9</f>
        <v>30093616.860800005</v>
      </c>
      <c r="M10" s="675"/>
      <c r="N10" s="674"/>
      <c r="O10" s="687">
        <f>O8-O9</f>
        <v>26485050.764032006</v>
      </c>
      <c r="P10" s="675"/>
      <c r="Q10" s="674"/>
      <c r="R10" s="687">
        <f>R8-R9</f>
        <v>23468810.512993291</v>
      </c>
    </row>
    <row r="11" spans="1:18" ht="20.100000000000001" customHeight="1">
      <c r="A11" s="683" t="s">
        <v>846</v>
      </c>
      <c r="B11" s="684">
        <v>5000000</v>
      </c>
      <c r="C11" s="676"/>
      <c r="D11" s="673"/>
      <c r="E11" s="674"/>
      <c r="F11" s="674"/>
      <c r="G11" s="675"/>
      <c r="H11" s="674"/>
      <c r="I11" s="674"/>
      <c r="J11" s="675"/>
      <c r="K11" s="674"/>
      <c r="L11" s="674"/>
      <c r="M11" s="675"/>
      <c r="N11" s="871" t="s">
        <v>847</v>
      </c>
      <c r="O11" s="871"/>
      <c r="P11" s="871"/>
      <c r="Q11" s="871"/>
      <c r="R11" s="685">
        <f>R10/C4</f>
        <v>0.35868577889337139</v>
      </c>
    </row>
    <row r="12" spans="1:18" ht="20.100000000000001" customHeight="1">
      <c r="G12" s="675"/>
      <c r="J12" s="675"/>
      <c r="M12" s="675"/>
      <c r="P12" s="675"/>
    </row>
    <row r="13" spans="1:18" ht="20.100000000000001" customHeight="1">
      <c r="A13" s="677" t="s">
        <v>843</v>
      </c>
      <c r="B13" s="671"/>
      <c r="C13" s="676"/>
      <c r="D13" s="673"/>
      <c r="E13" s="674"/>
      <c r="F13" s="678">
        <f>F8</f>
        <v>80177675.760000005</v>
      </c>
      <c r="G13" s="675"/>
      <c r="H13" s="674"/>
      <c r="I13" s="678">
        <f>F15+I6</f>
        <v>54271727.040000007</v>
      </c>
      <c r="J13" s="675"/>
      <c r="K13" s="674"/>
      <c r="L13" s="678">
        <f>I15+L6</f>
        <v>45093616.860800005</v>
      </c>
      <c r="M13" s="675"/>
      <c r="N13" s="674"/>
      <c r="O13" s="678">
        <f>L15+O6</f>
        <v>36485050.764032006</v>
      </c>
      <c r="P13" s="675"/>
      <c r="Q13" s="674"/>
      <c r="R13" s="678">
        <f>O15+R6</f>
        <v>28468810.512993287</v>
      </c>
    </row>
    <row r="14" spans="1:18" ht="20.100000000000001" customHeight="1">
      <c r="A14" s="679" t="s">
        <v>844</v>
      </c>
      <c r="B14" s="671">
        <f>(F14+I14+L14+O14+R14)</f>
        <v>141180200</v>
      </c>
      <c r="C14" s="673"/>
      <c r="D14" s="673"/>
      <c r="E14" s="680">
        <v>5</v>
      </c>
      <c r="F14" s="681">
        <f>F9</f>
        <v>41180200</v>
      </c>
      <c r="G14" s="675"/>
      <c r="H14" s="680">
        <v>5</v>
      </c>
      <c r="I14" s="681">
        <f>$B$16*H14</f>
        <v>25000000</v>
      </c>
      <c r="J14" s="675"/>
      <c r="K14" s="680">
        <v>5</v>
      </c>
      <c r="L14" s="681">
        <f>$B$16*K14</f>
        <v>25000000</v>
      </c>
      <c r="M14" s="675"/>
      <c r="N14" s="680">
        <v>5</v>
      </c>
      <c r="O14" s="681">
        <f>$B$16*N14</f>
        <v>25000000</v>
      </c>
      <c r="P14" s="675"/>
      <c r="Q14" s="680">
        <v>5</v>
      </c>
      <c r="R14" s="681">
        <f>$B$16*Q14</f>
        <v>25000000</v>
      </c>
    </row>
    <row r="15" spans="1:18" ht="20.100000000000001" customHeight="1">
      <c r="A15" s="670" t="s">
        <v>845</v>
      </c>
      <c r="B15" s="671"/>
      <c r="C15" s="676"/>
      <c r="D15" s="673"/>
      <c r="E15" s="674"/>
      <c r="F15" s="687">
        <f>F13-F14</f>
        <v>38997475.760000005</v>
      </c>
      <c r="G15" s="675"/>
      <c r="H15" s="674"/>
      <c r="I15" s="687">
        <f>I13-I14</f>
        <v>29271727.040000007</v>
      </c>
      <c r="J15" s="675"/>
      <c r="K15" s="674"/>
      <c r="L15" s="687">
        <f>L13-L14</f>
        <v>20093616.860800005</v>
      </c>
      <c r="M15" s="675"/>
      <c r="N15" s="674"/>
      <c r="O15" s="687">
        <f>O13-O14</f>
        <v>11485050.764032006</v>
      </c>
      <c r="P15" s="675"/>
      <c r="Q15" s="674"/>
      <c r="R15" s="687">
        <f>R13-R14</f>
        <v>3468810.5129932873</v>
      </c>
    </row>
    <row r="16" spans="1:18" ht="20.100000000000001" customHeight="1">
      <c r="A16" s="683" t="s">
        <v>846</v>
      </c>
      <c r="B16" s="684">
        <v>5000000</v>
      </c>
      <c r="C16" s="676"/>
      <c r="D16" s="673"/>
      <c r="E16" s="674"/>
      <c r="F16" s="674"/>
      <c r="G16" s="675"/>
      <c r="H16" s="674"/>
      <c r="I16" s="674"/>
      <c r="J16" s="675"/>
      <c r="K16" s="674"/>
      <c r="L16" s="674"/>
      <c r="M16" s="675"/>
      <c r="N16" s="871" t="s">
        <v>847</v>
      </c>
      <c r="O16" s="871"/>
      <c r="P16" s="871"/>
      <c r="Q16" s="871"/>
      <c r="R16" s="685">
        <f>R15/C4</f>
        <v>5.3015597019613135E-2</v>
      </c>
    </row>
    <row r="17" spans="1:18" ht="20.100000000000001" customHeight="1"/>
    <row r="18" spans="1:18" ht="20.100000000000001" customHeight="1">
      <c r="A18" s="677" t="s">
        <v>843</v>
      </c>
      <c r="B18" s="671"/>
      <c r="C18" s="676"/>
      <c r="D18" s="673"/>
      <c r="E18" s="674"/>
      <c r="F18" s="678">
        <f>F13</f>
        <v>80177675.760000005</v>
      </c>
      <c r="G18" s="675"/>
      <c r="H18" s="674"/>
      <c r="I18" s="678">
        <f>F20+I6</f>
        <v>66501927.040000007</v>
      </c>
      <c r="J18" s="675"/>
      <c r="K18" s="674"/>
      <c r="L18" s="678">
        <f>I20+L6</f>
        <v>53373816.860800005</v>
      </c>
      <c r="M18" s="675"/>
      <c r="N18" s="674"/>
      <c r="O18" s="678">
        <f>L20+O6</f>
        <v>40815250.764032006</v>
      </c>
      <c r="P18" s="675"/>
      <c r="Q18" s="674"/>
      <c r="R18" s="678">
        <f>O20+R6</f>
        <v>28849010.512993287</v>
      </c>
    </row>
    <row r="19" spans="1:18" ht="20.100000000000001" customHeight="1">
      <c r="A19" s="679" t="s">
        <v>844</v>
      </c>
      <c r="B19" s="671">
        <f>(F19+I19+L19+O19+R19)</f>
        <v>144750000</v>
      </c>
      <c r="C19" s="673"/>
      <c r="D19" s="673"/>
      <c r="E19" s="686">
        <v>5.79</v>
      </c>
      <c r="F19" s="681">
        <f>$B$16*E19</f>
        <v>28950000</v>
      </c>
      <c r="G19" s="675"/>
      <c r="H19" s="686">
        <f>E19</f>
        <v>5.79</v>
      </c>
      <c r="I19" s="681">
        <f>$B$16*H19</f>
        <v>28950000</v>
      </c>
      <c r="J19" s="675"/>
      <c r="K19" s="686">
        <f>E19</f>
        <v>5.79</v>
      </c>
      <c r="L19" s="681">
        <f>$B$16*K19</f>
        <v>28950000</v>
      </c>
      <c r="M19" s="675"/>
      <c r="N19" s="686">
        <f>E19</f>
        <v>5.79</v>
      </c>
      <c r="O19" s="681">
        <f>$B$16*N19</f>
        <v>28950000</v>
      </c>
      <c r="P19" s="675"/>
      <c r="Q19" s="686">
        <f>E19</f>
        <v>5.79</v>
      </c>
      <c r="R19" s="681">
        <f>$B$16*Q19</f>
        <v>28950000</v>
      </c>
    </row>
    <row r="20" spans="1:18" ht="20.100000000000001" customHeight="1">
      <c r="A20" s="670" t="s">
        <v>845</v>
      </c>
      <c r="B20" s="671"/>
      <c r="C20" s="676"/>
      <c r="D20" s="673"/>
      <c r="E20" s="674"/>
      <c r="F20" s="687">
        <f>F18-F19</f>
        <v>51227675.760000005</v>
      </c>
      <c r="G20" s="675"/>
      <c r="H20" s="674"/>
      <c r="I20" s="682">
        <f>I18-I19</f>
        <v>37551927.040000007</v>
      </c>
      <c r="J20" s="675"/>
      <c r="K20" s="674"/>
      <c r="L20" s="687">
        <f>L18-L19</f>
        <v>24423816.860800005</v>
      </c>
      <c r="M20" s="675"/>
      <c r="N20" s="674"/>
      <c r="O20" s="687">
        <f>O18-O19</f>
        <v>11865250.764032006</v>
      </c>
      <c r="P20" s="675"/>
      <c r="Q20" s="674"/>
      <c r="R20" s="687">
        <f>R18-R19</f>
        <v>-100989.4870067127</v>
      </c>
    </row>
    <row r="21" spans="1:18" ht="20.100000000000001" customHeight="1">
      <c r="A21" s="683" t="s">
        <v>846</v>
      </c>
      <c r="B21" s="684">
        <v>5000000</v>
      </c>
      <c r="C21" s="676"/>
      <c r="D21" s="673"/>
      <c r="E21" s="674"/>
      <c r="F21" s="674"/>
      <c r="G21" s="675"/>
      <c r="H21" s="674"/>
      <c r="I21" s="674"/>
      <c r="J21" s="675"/>
      <c r="K21" s="674"/>
      <c r="L21" s="674"/>
      <c r="M21" s="675"/>
      <c r="N21" s="871" t="s">
        <v>847</v>
      </c>
      <c r="O21" s="871"/>
      <c r="P21" s="871"/>
      <c r="Q21" s="871"/>
      <c r="R21" s="685">
        <f>R20/C4</f>
        <v>-1.5434737430339708E-3</v>
      </c>
    </row>
    <row r="22" spans="1:18" ht="20.100000000000001" customHeight="1"/>
    <row r="23" spans="1:18" ht="20.100000000000001" customHeight="1"/>
  </sheetData>
  <mergeCells count="4">
    <mergeCell ref="N11:Q11"/>
    <mergeCell ref="N16:Q16"/>
    <mergeCell ref="N21:Q21"/>
    <mergeCell ref="A1:R1"/>
  </mergeCells>
  <printOptions horizontalCentered="1"/>
  <pageMargins left="0.51181102362204722" right="0.51181102362204722" top="0.78740157480314965" bottom="0.78740157480314965" header="0.31496062992125984" footer="0.31496062992125984"/>
  <pageSetup paperSize="9" scale="93" orientation="landscape" r:id="rId1"/>
  <headerFooter>
    <oddFooter>&amp;L&amp;F&amp;C&amp;A&amp;R&amp;P/&amp;N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60"/>
  <sheetViews>
    <sheetView topLeftCell="A29" workbookViewId="0">
      <selection activeCell="C40" sqref="C40:M40"/>
    </sheetView>
  </sheetViews>
  <sheetFormatPr defaultRowHeight="15"/>
  <cols>
    <col min="1" max="1" width="10.125" style="130" customWidth="1"/>
    <col min="2" max="2" width="6.125" style="130" customWidth="1"/>
    <col min="3" max="3" width="5.875" style="130" customWidth="1"/>
    <col min="4" max="13" width="6.125" style="130" customWidth="1"/>
    <col min="14" max="17" width="9" style="130"/>
    <col min="18" max="18" width="43.25" style="130" customWidth="1"/>
    <col min="19" max="16384" width="9" style="130"/>
  </cols>
  <sheetData>
    <row r="1" spans="1:13" s="129" customFormat="1" ht="39.950000000000003" customHeight="1">
      <c r="A1" s="804" t="s">
        <v>347</v>
      </c>
      <c r="B1" s="804"/>
      <c r="C1" s="804"/>
      <c r="D1" s="804"/>
      <c r="E1" s="804"/>
      <c r="F1" s="804"/>
      <c r="G1" s="804"/>
      <c r="H1" s="804"/>
      <c r="I1" s="804"/>
      <c r="J1" s="804"/>
      <c r="K1" s="804"/>
      <c r="L1" s="804"/>
      <c r="M1" s="804"/>
    </row>
    <row r="3" spans="1:13" ht="20.100000000000001" customHeight="1">
      <c r="A3" s="132" t="s">
        <v>190</v>
      </c>
      <c r="B3" s="152"/>
      <c r="C3" s="133">
        <v>1</v>
      </c>
      <c r="D3" s="901" t="s">
        <v>312</v>
      </c>
      <c r="E3" s="902"/>
      <c r="F3" s="902"/>
      <c r="G3" s="902"/>
      <c r="H3" s="902"/>
      <c r="I3" s="902"/>
      <c r="J3" s="902"/>
      <c r="K3" s="902"/>
      <c r="L3" s="902"/>
      <c r="M3" s="903"/>
    </row>
    <row r="4" spans="1:13" ht="45" customHeight="1">
      <c r="A4" s="896" t="s">
        <v>294</v>
      </c>
      <c r="B4" s="896"/>
      <c r="C4" s="896"/>
      <c r="D4" s="897" t="s">
        <v>286</v>
      </c>
      <c r="E4" s="897"/>
      <c r="F4" s="897"/>
      <c r="G4" s="897"/>
      <c r="H4" s="897"/>
      <c r="I4" s="897"/>
      <c r="J4" s="897"/>
      <c r="K4" s="897"/>
      <c r="L4" s="897"/>
      <c r="M4" s="897"/>
    </row>
    <row r="6" spans="1:13" ht="20.100000000000001" customHeight="1">
      <c r="A6" s="132" t="s">
        <v>192</v>
      </c>
      <c r="B6" s="152"/>
      <c r="C6" s="133">
        <v>1</v>
      </c>
      <c r="D6" s="904" t="s">
        <v>351</v>
      </c>
      <c r="E6" s="905"/>
      <c r="F6" s="905"/>
      <c r="G6" s="905"/>
      <c r="H6" s="905"/>
      <c r="I6" s="905"/>
      <c r="J6" s="905"/>
      <c r="K6" s="905"/>
      <c r="L6" s="905"/>
      <c r="M6" s="906"/>
    </row>
    <row r="7" spans="1:13" ht="45" customHeight="1">
      <c r="A7" s="896" t="s">
        <v>291</v>
      </c>
      <c r="B7" s="896"/>
      <c r="C7" s="896"/>
      <c r="D7" s="897" t="s">
        <v>348</v>
      </c>
      <c r="E7" s="897"/>
      <c r="F7" s="897"/>
      <c r="G7" s="897"/>
      <c r="H7" s="897"/>
      <c r="I7" s="897"/>
      <c r="J7" s="897"/>
      <c r="K7" s="897"/>
      <c r="L7" s="897"/>
      <c r="M7" s="897"/>
    </row>
    <row r="8" spans="1:13" ht="90" customHeight="1">
      <c r="A8" s="896" t="s">
        <v>293</v>
      </c>
      <c r="B8" s="896"/>
      <c r="C8" s="896"/>
      <c r="D8" s="897" t="s">
        <v>349</v>
      </c>
      <c r="E8" s="897"/>
      <c r="F8" s="897"/>
      <c r="G8" s="897"/>
      <c r="H8" s="897"/>
      <c r="I8" s="897"/>
      <c r="J8" s="897"/>
      <c r="K8" s="897"/>
      <c r="L8" s="897"/>
      <c r="M8" s="897"/>
    </row>
    <row r="9" spans="1:13" ht="30" customHeight="1">
      <c r="A9" s="896" t="s">
        <v>292</v>
      </c>
      <c r="B9" s="896"/>
      <c r="C9" s="896"/>
      <c r="D9" s="897" t="s">
        <v>350</v>
      </c>
      <c r="E9" s="897"/>
      <c r="F9" s="897"/>
      <c r="G9" s="897"/>
      <c r="H9" s="897"/>
      <c r="I9" s="897"/>
      <c r="J9" s="897"/>
      <c r="K9" s="897"/>
      <c r="L9" s="897"/>
      <c r="M9" s="897"/>
    </row>
    <row r="11" spans="1:13" ht="30" customHeight="1">
      <c r="A11" s="132" t="s">
        <v>193</v>
      </c>
      <c r="B11" s="152"/>
      <c r="C11" s="133">
        <v>1</v>
      </c>
      <c r="D11" s="907" t="s">
        <v>352</v>
      </c>
      <c r="E11" s="908"/>
      <c r="F11" s="908"/>
      <c r="G11" s="908"/>
      <c r="H11" s="908"/>
      <c r="I11" s="908"/>
      <c r="J11" s="908"/>
      <c r="K11" s="908"/>
      <c r="L11" s="908"/>
      <c r="M11" s="909"/>
    </row>
    <row r="12" spans="1:13" s="150" customFormat="1" ht="20.100000000000001" customHeight="1">
      <c r="A12" s="898" t="s">
        <v>308</v>
      </c>
      <c r="B12" s="899"/>
      <c r="C12" s="900"/>
      <c r="D12" s="897" t="s">
        <v>353</v>
      </c>
      <c r="E12" s="897"/>
      <c r="F12" s="897"/>
      <c r="G12" s="897"/>
      <c r="H12" s="897"/>
      <c r="I12" s="897"/>
      <c r="J12" s="897"/>
      <c r="K12" s="897"/>
      <c r="L12" s="897"/>
      <c r="M12" s="897"/>
    </row>
    <row r="13" spans="1:13" ht="30" customHeight="1">
      <c r="A13" s="896" t="s">
        <v>296</v>
      </c>
      <c r="B13" s="896"/>
      <c r="C13" s="896"/>
      <c r="D13" s="897" t="s">
        <v>412</v>
      </c>
      <c r="E13" s="897"/>
      <c r="F13" s="897"/>
      <c r="G13" s="897"/>
      <c r="H13" s="897"/>
      <c r="I13" s="897"/>
      <c r="J13" s="897"/>
      <c r="K13" s="897"/>
      <c r="L13" s="897"/>
      <c r="M13" s="897"/>
    </row>
    <row r="14" spans="1:13" ht="20.100000000000001" customHeight="1">
      <c r="A14" s="896" t="s">
        <v>311</v>
      </c>
      <c r="B14" s="896"/>
      <c r="C14" s="896"/>
      <c r="D14" s="897" t="s">
        <v>362</v>
      </c>
      <c r="E14" s="897"/>
      <c r="F14" s="897"/>
      <c r="G14" s="897"/>
      <c r="H14" s="897"/>
      <c r="I14" s="897"/>
      <c r="J14" s="897"/>
      <c r="K14" s="897"/>
      <c r="L14" s="897"/>
      <c r="M14" s="897"/>
    </row>
    <row r="15" spans="1:13" s="150" customFormat="1" ht="20.100000000000001" customHeight="1">
      <c r="A15" s="898" t="s">
        <v>305</v>
      </c>
      <c r="B15" s="899"/>
      <c r="C15" s="900"/>
      <c r="D15" s="897" t="s">
        <v>304</v>
      </c>
      <c r="E15" s="897"/>
      <c r="F15" s="897"/>
      <c r="G15" s="897"/>
      <c r="H15" s="897"/>
      <c r="I15" s="897"/>
      <c r="J15" s="897"/>
      <c r="K15" s="897"/>
      <c r="L15" s="897"/>
      <c r="M15" s="897"/>
    </row>
    <row r="16" spans="1:13" ht="45" customHeight="1">
      <c r="A16" s="896" t="s">
        <v>297</v>
      </c>
      <c r="B16" s="896"/>
      <c r="C16" s="896"/>
      <c r="D16" s="897" t="s">
        <v>354</v>
      </c>
      <c r="E16" s="897"/>
      <c r="F16" s="897"/>
      <c r="G16" s="897"/>
      <c r="H16" s="897"/>
      <c r="I16" s="897"/>
      <c r="J16" s="897"/>
      <c r="K16" s="897"/>
      <c r="L16" s="897"/>
      <c r="M16" s="897"/>
    </row>
    <row r="17" spans="1:13" ht="60" customHeight="1">
      <c r="A17" s="896" t="s">
        <v>299</v>
      </c>
      <c r="B17" s="896"/>
      <c r="C17" s="896"/>
      <c r="D17" s="897" t="s">
        <v>355</v>
      </c>
      <c r="E17" s="897"/>
      <c r="F17" s="897"/>
      <c r="G17" s="897"/>
      <c r="H17" s="897"/>
      <c r="I17" s="897"/>
      <c r="J17" s="897"/>
      <c r="K17" s="897"/>
      <c r="L17" s="897"/>
      <c r="M17" s="897"/>
    </row>
    <row r="18" spans="1:13" ht="30" customHeight="1">
      <c r="A18" s="896" t="s">
        <v>292</v>
      </c>
      <c r="B18" s="896"/>
      <c r="C18" s="896"/>
      <c r="D18" s="897" t="s">
        <v>350</v>
      </c>
      <c r="E18" s="897"/>
      <c r="F18" s="897"/>
      <c r="G18" s="897"/>
      <c r="H18" s="897"/>
      <c r="I18" s="897"/>
      <c r="J18" s="897"/>
      <c r="K18" s="897"/>
      <c r="L18" s="897"/>
      <c r="M18" s="897"/>
    </row>
    <row r="19" spans="1:13" ht="20.100000000000001" customHeight="1">
      <c r="A19" s="896" t="s">
        <v>302</v>
      </c>
      <c r="B19" s="896"/>
      <c r="C19" s="896"/>
      <c r="D19" s="897" t="s">
        <v>356</v>
      </c>
      <c r="E19" s="897"/>
      <c r="F19" s="897"/>
      <c r="G19" s="897"/>
      <c r="H19" s="897"/>
      <c r="I19" s="897"/>
      <c r="J19" s="897"/>
      <c r="K19" s="897"/>
      <c r="L19" s="897"/>
      <c r="M19" s="897"/>
    </row>
    <row r="20" spans="1:13" ht="20.100000000000001" customHeight="1">
      <c r="A20" s="896" t="s">
        <v>303</v>
      </c>
      <c r="B20" s="896"/>
      <c r="C20" s="896"/>
      <c r="D20" s="897" t="s">
        <v>357</v>
      </c>
      <c r="E20" s="897"/>
      <c r="F20" s="897"/>
      <c r="G20" s="897"/>
      <c r="H20" s="897"/>
      <c r="I20" s="897"/>
      <c r="J20" s="897"/>
      <c r="K20" s="897"/>
      <c r="L20" s="897"/>
      <c r="M20" s="897"/>
    </row>
    <row r="21" spans="1:13" ht="20.100000000000001" customHeight="1"/>
    <row r="22" spans="1:13" ht="20.100000000000001" customHeight="1">
      <c r="A22" s="151" t="s">
        <v>314</v>
      </c>
      <c r="B22" s="894" t="s">
        <v>313</v>
      </c>
      <c r="C22" s="895"/>
      <c r="D22" s="893">
        <v>2021</v>
      </c>
      <c r="E22" s="893"/>
      <c r="F22" s="893">
        <v>2022</v>
      </c>
      <c r="G22" s="893"/>
      <c r="H22" s="893">
        <v>2023</v>
      </c>
      <c r="I22" s="893"/>
      <c r="J22" s="893">
        <v>2024</v>
      </c>
      <c r="K22" s="893"/>
      <c r="L22" s="893">
        <v>2025</v>
      </c>
      <c r="M22" s="893"/>
    </row>
    <row r="23" spans="1:13" ht="20.100000000000001" customHeight="1">
      <c r="A23" s="134" t="str">
        <f>D12</f>
        <v>1.1.1.</v>
      </c>
      <c r="B23" s="889">
        <f>SUM(D23:M23)</f>
        <v>1</v>
      </c>
      <c r="C23" s="890"/>
      <c r="D23" s="654"/>
      <c r="E23" s="252"/>
      <c r="F23" s="153"/>
      <c r="G23" s="655">
        <v>1</v>
      </c>
      <c r="H23" s="889"/>
      <c r="I23" s="890"/>
      <c r="J23" s="889"/>
      <c r="K23" s="890"/>
      <c r="L23" s="889"/>
      <c r="M23" s="890"/>
    </row>
    <row r="24" spans="1:13" ht="20.100000000000001" customHeight="1"/>
    <row r="25" spans="1:13" ht="20.100000000000001" customHeight="1">
      <c r="A25" s="151" t="s">
        <v>339</v>
      </c>
      <c r="B25" s="894" t="s">
        <v>173</v>
      </c>
      <c r="C25" s="895"/>
      <c r="D25" s="893">
        <v>2021</v>
      </c>
      <c r="E25" s="893"/>
      <c r="F25" s="893">
        <v>2022</v>
      </c>
      <c r="G25" s="893"/>
      <c r="H25" s="893">
        <v>2023</v>
      </c>
      <c r="I25" s="893"/>
      <c r="J25" s="893">
        <v>2024</v>
      </c>
      <c r="K25" s="893"/>
      <c r="L25" s="893">
        <v>2025</v>
      </c>
      <c r="M25" s="893"/>
    </row>
    <row r="26" spans="1:13" ht="20.100000000000001" customHeight="1">
      <c r="A26" s="134" t="str">
        <f>D12</f>
        <v>1.1.1.</v>
      </c>
      <c r="B26" s="886">
        <f>SUM(D26:M26)</f>
        <v>444537.61281840858</v>
      </c>
      <c r="C26" s="887"/>
      <c r="D26" s="888">
        <f>'Acompanhamento PIRH '!G25*1/3</f>
        <v>148179.20427280286</v>
      </c>
      <c r="E26" s="888"/>
      <c r="F26" s="888">
        <f>'Acompanhamento PIRH '!G25*2/3</f>
        <v>296358.40854560572</v>
      </c>
      <c r="G26" s="888"/>
      <c r="H26" s="889"/>
      <c r="I26" s="890"/>
      <c r="J26" s="889"/>
      <c r="K26" s="890"/>
      <c r="L26" s="889"/>
      <c r="M26" s="890"/>
    </row>
    <row r="28" spans="1:13" ht="15" customHeight="1">
      <c r="A28" s="891" t="s">
        <v>363</v>
      </c>
      <c r="B28" s="891"/>
      <c r="C28" s="891"/>
      <c r="D28" s="891"/>
      <c r="E28" s="891"/>
      <c r="F28" s="891"/>
      <c r="G28" s="891"/>
      <c r="H28" s="891"/>
      <c r="I28" s="891"/>
      <c r="J28" s="891"/>
      <c r="K28" s="891"/>
      <c r="L28" s="891"/>
      <c r="M28" s="891"/>
    </row>
    <row r="29" spans="1:13" s="129" customFormat="1" ht="39.950000000000003" customHeight="1">
      <c r="A29" s="804" t="s">
        <v>341</v>
      </c>
      <c r="B29" s="804"/>
      <c r="C29" s="804"/>
      <c r="D29" s="804"/>
      <c r="E29" s="804"/>
      <c r="F29" s="804"/>
      <c r="G29" s="804"/>
      <c r="H29" s="804"/>
      <c r="I29" s="804"/>
      <c r="J29" s="804"/>
      <c r="K29" s="804"/>
      <c r="L29" s="804"/>
      <c r="M29" s="804"/>
    </row>
    <row r="31" spans="1:13" ht="24.95" customHeight="1">
      <c r="A31" s="155" t="str">
        <f>A3</f>
        <v>FINALIDADE</v>
      </c>
      <c r="B31" s="154"/>
      <c r="C31" s="250">
        <f>C3</f>
        <v>1</v>
      </c>
      <c r="D31" s="892" t="str">
        <f>D3</f>
        <v>Gestão de recursos hídricos</v>
      </c>
      <c r="E31" s="892"/>
      <c r="F31" s="892"/>
      <c r="G31" s="892"/>
      <c r="H31" s="892"/>
      <c r="I31" s="892"/>
      <c r="J31" s="892"/>
      <c r="K31" s="892"/>
      <c r="L31" s="892"/>
      <c r="M31" s="892"/>
    </row>
    <row r="32" spans="1:13" ht="24.95" customHeight="1">
      <c r="A32" s="157" t="str">
        <f>A6</f>
        <v>PROGRAMA</v>
      </c>
      <c r="B32" s="159"/>
      <c r="C32" s="167">
        <f>C6</f>
        <v>1</v>
      </c>
      <c r="D32" s="885" t="str">
        <f>D6</f>
        <v>Planos de Recursos Hídricos (PRH)</v>
      </c>
      <c r="E32" s="885"/>
      <c r="F32" s="885"/>
      <c r="G32" s="885"/>
      <c r="H32" s="885"/>
      <c r="I32" s="885"/>
      <c r="J32" s="885"/>
      <c r="K32" s="885"/>
      <c r="L32" s="885"/>
      <c r="M32" s="885"/>
    </row>
    <row r="33" spans="1:17" ht="24.95" customHeight="1">
      <c r="A33" s="156" t="str">
        <f>A11</f>
        <v>AÇÃO</v>
      </c>
      <c r="B33" s="160"/>
      <c r="C33" s="167">
        <f>C11</f>
        <v>1</v>
      </c>
      <c r="D33" s="885" t="str">
        <f>D11</f>
        <v>Elaboração, atualização ou revisão do Plano de Recursos Hídricos (PRH)</v>
      </c>
      <c r="E33" s="885"/>
      <c r="F33" s="885"/>
      <c r="G33" s="885"/>
      <c r="H33" s="885"/>
      <c r="I33" s="885"/>
      <c r="J33" s="885"/>
      <c r="K33" s="885"/>
      <c r="L33" s="885"/>
      <c r="M33" s="885"/>
    </row>
    <row r="34" spans="1:17" ht="29.25" customHeight="1">
      <c r="A34" s="165" t="s">
        <v>317</v>
      </c>
      <c r="B34" s="166"/>
      <c r="C34" s="167">
        <v>1</v>
      </c>
      <c r="D34" s="885" t="s">
        <v>835</v>
      </c>
      <c r="E34" s="885"/>
      <c r="F34" s="885"/>
      <c r="G34" s="885"/>
      <c r="H34" s="885"/>
      <c r="I34" s="885"/>
      <c r="J34" s="885"/>
      <c r="K34" s="885"/>
      <c r="L34" s="885"/>
      <c r="M34" s="885"/>
    </row>
    <row r="35" spans="1:17" s="150" customFormat="1" ht="24.95" customHeight="1">
      <c r="A35" s="878" t="s">
        <v>308</v>
      </c>
      <c r="B35" s="879"/>
      <c r="C35" s="560"/>
      <c r="D35" s="551">
        <f>C31</f>
        <v>1</v>
      </c>
      <c r="E35" s="551">
        <f>C32</f>
        <v>1</v>
      </c>
      <c r="F35" s="551">
        <f>C33</f>
        <v>1</v>
      </c>
      <c r="G35" s="551">
        <f>C34</f>
        <v>1</v>
      </c>
      <c r="H35" s="560"/>
      <c r="I35" s="560"/>
      <c r="J35" s="560"/>
      <c r="K35" s="560"/>
      <c r="L35" s="560"/>
      <c r="M35" s="561"/>
    </row>
    <row r="36" spans="1:17" s="150" customFormat="1" ht="122.25" customHeight="1">
      <c r="A36" s="880" t="s">
        <v>321</v>
      </c>
      <c r="B36" s="881"/>
      <c r="C36" s="882" t="s">
        <v>361</v>
      </c>
      <c r="D36" s="882"/>
      <c r="E36" s="882"/>
      <c r="F36" s="882"/>
      <c r="G36" s="882"/>
      <c r="H36" s="882"/>
      <c r="I36" s="882"/>
      <c r="J36" s="882"/>
      <c r="K36" s="882"/>
      <c r="L36" s="882"/>
      <c r="M36" s="882"/>
      <c r="P36" s="158"/>
      <c r="Q36" s="253"/>
    </row>
    <row r="37" spans="1:17" s="150" customFormat="1" ht="20.100000000000001" customHeight="1">
      <c r="P37" s="158"/>
    </row>
    <row r="38" spans="1:17" s="150" customFormat="1" ht="35.1" customHeight="1">
      <c r="A38" s="878" t="s">
        <v>323</v>
      </c>
      <c r="B38" s="879"/>
      <c r="C38" s="883" t="s">
        <v>833</v>
      </c>
      <c r="D38" s="883"/>
      <c r="E38" s="883"/>
      <c r="F38" s="883"/>
      <c r="G38" s="883"/>
      <c r="H38" s="883"/>
      <c r="I38" s="883"/>
      <c r="J38" s="883"/>
      <c r="K38" s="883"/>
      <c r="L38" s="883"/>
      <c r="M38" s="884"/>
      <c r="P38" s="158"/>
    </row>
    <row r="39" spans="1:17" s="150" customFormat="1" ht="20.100000000000001" customHeight="1">
      <c r="A39" s="247" t="s">
        <v>338</v>
      </c>
      <c r="B39" s="249"/>
      <c r="C39" s="245" t="s">
        <v>358</v>
      </c>
      <c r="D39" s="873" t="s">
        <v>359</v>
      </c>
      <c r="E39" s="874"/>
      <c r="F39" s="874"/>
      <c r="G39" s="874"/>
      <c r="H39" s="874"/>
      <c r="I39" s="874"/>
      <c r="J39" s="874"/>
      <c r="K39" s="874"/>
      <c r="L39" s="874"/>
      <c r="M39" s="875"/>
      <c r="P39" s="158"/>
    </row>
    <row r="40" spans="1:17" s="150" customFormat="1" ht="20.100000000000001" customHeight="1">
      <c r="A40" s="248" t="s">
        <v>340</v>
      </c>
      <c r="B40" s="246"/>
      <c r="C40" s="876" t="s">
        <v>360</v>
      </c>
      <c r="D40" s="876"/>
      <c r="E40" s="876"/>
      <c r="F40" s="876"/>
      <c r="G40" s="876"/>
      <c r="H40" s="876"/>
      <c r="I40" s="876"/>
      <c r="J40" s="876"/>
      <c r="K40" s="876"/>
      <c r="L40" s="876"/>
      <c r="M40" s="877"/>
      <c r="P40" s="158"/>
    </row>
    <row r="41" spans="1:17" s="150" customFormat="1" ht="9.9499999999999993" customHeight="1">
      <c r="P41" s="158"/>
    </row>
    <row r="42" spans="1:17" s="150" customFormat="1" ht="20.100000000000001" customHeight="1">
      <c r="A42" s="161" t="s">
        <v>327</v>
      </c>
      <c r="B42" s="162">
        <v>1</v>
      </c>
      <c r="C42" s="162">
        <v>2</v>
      </c>
      <c r="D42" s="162">
        <v>3</v>
      </c>
      <c r="E42" s="162">
        <v>4</v>
      </c>
      <c r="F42" s="162">
        <v>5</v>
      </c>
      <c r="G42" s="162">
        <v>6</v>
      </c>
      <c r="H42" s="162">
        <v>7</v>
      </c>
      <c r="I42" s="162">
        <v>8</v>
      </c>
      <c r="J42" s="162">
        <v>9</v>
      </c>
      <c r="K42" s="162">
        <v>10</v>
      </c>
      <c r="L42" s="162">
        <v>11</v>
      </c>
      <c r="M42" s="162">
        <v>12</v>
      </c>
    </row>
    <row r="43" spans="1:17" s="150" customFormat="1" ht="20.100000000000001" customHeight="1">
      <c r="A43" s="161" t="s">
        <v>328</v>
      </c>
      <c r="B43" s="566"/>
      <c r="C43" s="566"/>
      <c r="D43" s="566"/>
      <c r="E43" s="566"/>
      <c r="F43" s="566"/>
      <c r="G43" s="566"/>
      <c r="H43" s="164"/>
      <c r="I43" s="164"/>
      <c r="J43" s="164"/>
      <c r="K43" s="164"/>
      <c r="L43" s="164"/>
      <c r="M43" s="164"/>
    </row>
    <row r="44" spans="1:17" s="150" customFormat="1" ht="20.100000000000001" customHeight="1">
      <c r="A44" s="161" t="s">
        <v>329</v>
      </c>
      <c r="B44" s="243"/>
      <c r="C44" s="243"/>
      <c r="D44" s="243"/>
      <c r="E44" s="243"/>
      <c r="F44" s="243"/>
      <c r="G44" s="243"/>
      <c r="H44" s="243">
        <f>$D$26/6</f>
        <v>24696.534045467142</v>
      </c>
      <c r="I44" s="243">
        <f t="shared" ref="I44:M44" si="0">$D$26/6</f>
        <v>24696.534045467142</v>
      </c>
      <c r="J44" s="243">
        <f t="shared" si="0"/>
        <v>24696.534045467142</v>
      </c>
      <c r="K44" s="243">
        <f t="shared" si="0"/>
        <v>24696.534045467142</v>
      </c>
      <c r="L44" s="243">
        <f t="shared" si="0"/>
        <v>24696.534045467142</v>
      </c>
      <c r="M44" s="243">
        <f t="shared" si="0"/>
        <v>24696.534045467142</v>
      </c>
    </row>
    <row r="45" spans="1:17" s="150" customFormat="1" ht="15" customHeight="1"/>
    <row r="46" spans="1:17" s="150" customFormat="1" ht="20.100000000000001" customHeight="1">
      <c r="A46" s="161" t="s">
        <v>327</v>
      </c>
      <c r="B46" s="162">
        <v>13</v>
      </c>
      <c r="C46" s="162">
        <v>14</v>
      </c>
      <c r="D46" s="162">
        <v>15</v>
      </c>
      <c r="E46" s="162">
        <v>16</v>
      </c>
      <c r="F46" s="162">
        <v>17</v>
      </c>
      <c r="G46" s="162">
        <v>18</v>
      </c>
      <c r="H46" s="162">
        <v>19</v>
      </c>
      <c r="I46" s="162">
        <v>20</v>
      </c>
      <c r="J46" s="162">
        <v>21</v>
      </c>
      <c r="K46" s="162">
        <v>22</v>
      </c>
      <c r="L46" s="162">
        <v>23</v>
      </c>
      <c r="M46" s="162">
        <v>24</v>
      </c>
    </row>
    <row r="47" spans="1:17" s="150" customFormat="1" ht="20.100000000000001" customHeight="1">
      <c r="A47" s="161" t="s">
        <v>328</v>
      </c>
      <c r="B47" s="164"/>
      <c r="C47" s="164"/>
      <c r="D47" s="164"/>
      <c r="E47" s="164"/>
      <c r="F47" s="164"/>
      <c r="G47" s="164"/>
      <c r="H47" s="164"/>
      <c r="I47" s="164"/>
      <c r="J47" s="164"/>
      <c r="K47" s="164"/>
      <c r="L47" s="164"/>
      <c r="M47" s="164"/>
    </row>
    <row r="48" spans="1:17" s="150" customFormat="1" ht="20.100000000000001" customHeight="1">
      <c r="A48" s="161" t="s">
        <v>329</v>
      </c>
      <c r="B48" s="243">
        <f>$F$26/12</f>
        <v>24696.534045467142</v>
      </c>
      <c r="C48" s="243">
        <f t="shared" ref="C48:M48" si="1">$F$26/12</f>
        <v>24696.534045467142</v>
      </c>
      <c r="D48" s="243">
        <f t="shared" si="1"/>
        <v>24696.534045467142</v>
      </c>
      <c r="E48" s="243">
        <f t="shared" si="1"/>
        <v>24696.534045467142</v>
      </c>
      <c r="F48" s="243">
        <f t="shared" si="1"/>
        <v>24696.534045467142</v>
      </c>
      <c r="G48" s="243">
        <f t="shared" si="1"/>
        <v>24696.534045467142</v>
      </c>
      <c r="H48" s="243">
        <f t="shared" si="1"/>
        <v>24696.534045467142</v>
      </c>
      <c r="I48" s="243">
        <f t="shared" si="1"/>
        <v>24696.534045467142</v>
      </c>
      <c r="J48" s="243">
        <f t="shared" si="1"/>
        <v>24696.534045467142</v>
      </c>
      <c r="K48" s="243">
        <f t="shared" si="1"/>
        <v>24696.534045467142</v>
      </c>
      <c r="L48" s="243">
        <f t="shared" si="1"/>
        <v>24696.534045467142</v>
      </c>
      <c r="M48" s="243">
        <f t="shared" si="1"/>
        <v>24696.534045467142</v>
      </c>
    </row>
    <row r="49" spans="1:13" s="150" customFormat="1" ht="15" customHeight="1"/>
    <row r="50" spans="1:13" s="150" customFormat="1" ht="20.100000000000001" customHeight="1">
      <c r="A50" s="161" t="s">
        <v>327</v>
      </c>
      <c r="B50" s="162">
        <v>25</v>
      </c>
      <c r="C50" s="162">
        <v>26</v>
      </c>
      <c r="D50" s="162">
        <v>27</v>
      </c>
      <c r="E50" s="162">
        <v>28</v>
      </c>
      <c r="F50" s="162">
        <v>29</v>
      </c>
      <c r="G50" s="162">
        <v>30</v>
      </c>
      <c r="H50" s="162">
        <v>31</v>
      </c>
      <c r="I50" s="162">
        <v>32</v>
      </c>
      <c r="J50" s="162">
        <v>33</v>
      </c>
      <c r="K50" s="162">
        <v>34</v>
      </c>
      <c r="L50" s="162">
        <v>35</v>
      </c>
      <c r="M50" s="162">
        <v>36</v>
      </c>
    </row>
    <row r="51" spans="1:13" s="150" customFormat="1" ht="20.100000000000001" customHeight="1">
      <c r="A51" s="161" t="s">
        <v>328</v>
      </c>
      <c r="B51" s="566"/>
      <c r="C51" s="566"/>
      <c r="D51" s="566"/>
      <c r="E51" s="566"/>
      <c r="F51" s="566"/>
      <c r="G51" s="566"/>
      <c r="H51" s="566"/>
      <c r="I51" s="566"/>
      <c r="J51" s="566"/>
      <c r="K51" s="566"/>
      <c r="L51" s="566"/>
      <c r="M51" s="566"/>
    </row>
    <row r="52" spans="1:13" s="150" customFormat="1" ht="20.100000000000001" customHeight="1">
      <c r="A52" s="161" t="s">
        <v>329</v>
      </c>
      <c r="B52" s="243">
        <v>0</v>
      </c>
      <c r="C52" s="243">
        <v>0</v>
      </c>
      <c r="D52" s="243">
        <v>0</v>
      </c>
      <c r="E52" s="243">
        <v>0</v>
      </c>
      <c r="F52" s="243">
        <v>0</v>
      </c>
      <c r="G52" s="243">
        <v>0</v>
      </c>
      <c r="H52" s="243">
        <v>0</v>
      </c>
      <c r="I52" s="243">
        <v>0</v>
      </c>
      <c r="J52" s="243">
        <v>0</v>
      </c>
      <c r="K52" s="243">
        <v>0</v>
      </c>
      <c r="L52" s="243">
        <v>0</v>
      </c>
      <c r="M52" s="243">
        <v>0</v>
      </c>
    </row>
    <row r="54" spans="1:13" s="150" customFormat="1" ht="20.100000000000001" customHeight="1">
      <c r="A54" s="161" t="s">
        <v>327</v>
      </c>
      <c r="B54" s="162">
        <v>37</v>
      </c>
      <c r="C54" s="162">
        <v>38</v>
      </c>
      <c r="D54" s="162">
        <v>39</v>
      </c>
      <c r="E54" s="162">
        <v>40</v>
      </c>
      <c r="F54" s="162">
        <v>41</v>
      </c>
      <c r="G54" s="162">
        <v>42</v>
      </c>
      <c r="H54" s="162">
        <v>43</v>
      </c>
      <c r="I54" s="162">
        <v>44</v>
      </c>
      <c r="J54" s="162">
        <v>45</v>
      </c>
      <c r="K54" s="162">
        <v>46</v>
      </c>
      <c r="L54" s="162">
        <v>47</v>
      </c>
      <c r="M54" s="162">
        <v>48</v>
      </c>
    </row>
    <row r="55" spans="1:13" s="150" customFormat="1" ht="20.100000000000001" customHeight="1">
      <c r="A55" s="161" t="s">
        <v>328</v>
      </c>
      <c r="B55" s="566"/>
      <c r="C55" s="566"/>
      <c r="D55" s="566"/>
      <c r="E55" s="566"/>
      <c r="F55" s="566"/>
      <c r="G55" s="566"/>
      <c r="H55" s="566"/>
      <c r="I55" s="566"/>
      <c r="J55" s="566"/>
      <c r="K55" s="566"/>
      <c r="L55" s="566"/>
      <c r="M55" s="566"/>
    </row>
    <row r="56" spans="1:13" s="150" customFormat="1" ht="20.100000000000001" customHeight="1">
      <c r="A56" s="161" t="s">
        <v>329</v>
      </c>
      <c r="B56" s="243">
        <v>0</v>
      </c>
      <c r="C56" s="243">
        <v>0</v>
      </c>
      <c r="D56" s="243">
        <v>0</v>
      </c>
      <c r="E56" s="243">
        <v>0</v>
      </c>
      <c r="F56" s="243">
        <v>0</v>
      </c>
      <c r="G56" s="243">
        <v>0</v>
      </c>
      <c r="H56" s="243">
        <v>0</v>
      </c>
      <c r="I56" s="243">
        <v>0</v>
      </c>
      <c r="J56" s="243">
        <v>0</v>
      </c>
      <c r="K56" s="243">
        <v>0</v>
      </c>
      <c r="L56" s="243">
        <v>0</v>
      </c>
      <c r="M56" s="243">
        <v>0</v>
      </c>
    </row>
    <row r="58" spans="1:13" s="150" customFormat="1" ht="20.100000000000001" customHeight="1">
      <c r="A58" s="161" t="s">
        <v>327</v>
      </c>
      <c r="B58" s="162">
        <v>49</v>
      </c>
      <c r="C58" s="162">
        <v>50</v>
      </c>
      <c r="D58" s="162">
        <v>51</v>
      </c>
      <c r="E58" s="162">
        <v>52</v>
      </c>
      <c r="F58" s="162">
        <v>53</v>
      </c>
      <c r="G58" s="162">
        <v>54</v>
      </c>
      <c r="H58" s="162">
        <v>55</v>
      </c>
      <c r="I58" s="162">
        <v>56</v>
      </c>
      <c r="J58" s="162">
        <v>57</v>
      </c>
      <c r="K58" s="162">
        <v>58</v>
      </c>
      <c r="L58" s="162">
        <v>59</v>
      </c>
      <c r="M58" s="162">
        <v>60</v>
      </c>
    </row>
    <row r="59" spans="1:13" s="150" customFormat="1" ht="20.100000000000001" customHeight="1">
      <c r="A59" s="161" t="s">
        <v>328</v>
      </c>
      <c r="B59" s="566"/>
      <c r="C59" s="566"/>
      <c r="D59" s="566"/>
      <c r="E59" s="566"/>
      <c r="F59" s="566"/>
      <c r="G59" s="566"/>
      <c r="H59" s="566"/>
      <c r="I59" s="566"/>
      <c r="J59" s="566"/>
      <c r="K59" s="566"/>
      <c r="L59" s="566"/>
      <c r="M59" s="566"/>
    </row>
    <row r="60" spans="1:13" s="150" customFormat="1" ht="20.100000000000001" customHeight="1">
      <c r="A60" s="161" t="s">
        <v>329</v>
      </c>
      <c r="B60" s="243">
        <v>0</v>
      </c>
      <c r="C60" s="243">
        <v>0</v>
      </c>
      <c r="D60" s="243">
        <v>0</v>
      </c>
      <c r="E60" s="243">
        <v>0</v>
      </c>
      <c r="F60" s="243">
        <v>0</v>
      </c>
      <c r="G60" s="243">
        <v>0</v>
      </c>
      <c r="H60" s="243">
        <v>0</v>
      </c>
      <c r="I60" s="243">
        <v>0</v>
      </c>
      <c r="J60" s="243">
        <v>0</v>
      </c>
      <c r="K60" s="243">
        <v>0</v>
      </c>
      <c r="L60" s="243">
        <v>0</v>
      </c>
      <c r="M60" s="243">
        <v>0</v>
      </c>
    </row>
  </sheetData>
  <mergeCells count="65">
    <mergeCell ref="A12:C12"/>
    <mergeCell ref="D12:M12"/>
    <mergeCell ref="A1:M1"/>
    <mergeCell ref="D3:M3"/>
    <mergeCell ref="A4:C4"/>
    <mergeCell ref="D4:M4"/>
    <mergeCell ref="D6:M6"/>
    <mergeCell ref="A7:C7"/>
    <mergeCell ref="D7:M7"/>
    <mergeCell ref="A8:C8"/>
    <mergeCell ref="D8:M8"/>
    <mergeCell ref="A9:C9"/>
    <mergeCell ref="D9:M9"/>
    <mergeCell ref="D11:M11"/>
    <mergeCell ref="A13:C13"/>
    <mergeCell ref="D13:M13"/>
    <mergeCell ref="A14:C14"/>
    <mergeCell ref="D14:M14"/>
    <mergeCell ref="A15:C15"/>
    <mergeCell ref="D15:M15"/>
    <mergeCell ref="A16:C16"/>
    <mergeCell ref="D16:M16"/>
    <mergeCell ref="A17:C17"/>
    <mergeCell ref="D17:M17"/>
    <mergeCell ref="A18:C18"/>
    <mergeCell ref="D18:M18"/>
    <mergeCell ref="A19:C19"/>
    <mergeCell ref="D19:M19"/>
    <mergeCell ref="A20:C20"/>
    <mergeCell ref="D20:M20"/>
    <mergeCell ref="B22:C22"/>
    <mergeCell ref="D22:E22"/>
    <mergeCell ref="F22:G22"/>
    <mergeCell ref="H22:I22"/>
    <mergeCell ref="J22:K22"/>
    <mergeCell ref="L22:M22"/>
    <mergeCell ref="L25:M25"/>
    <mergeCell ref="B23:C23"/>
    <mergeCell ref="H23:I23"/>
    <mergeCell ref="J23:K23"/>
    <mergeCell ref="L23:M23"/>
    <mergeCell ref="B25:C25"/>
    <mergeCell ref="D25:E25"/>
    <mergeCell ref="F25:G25"/>
    <mergeCell ref="H25:I25"/>
    <mergeCell ref="J25:K25"/>
    <mergeCell ref="D34:M34"/>
    <mergeCell ref="B26:C26"/>
    <mergeCell ref="D26:E26"/>
    <mergeCell ref="H26:I26"/>
    <mergeCell ref="J26:K26"/>
    <mergeCell ref="L26:M26"/>
    <mergeCell ref="A28:M28"/>
    <mergeCell ref="A29:M29"/>
    <mergeCell ref="D31:M31"/>
    <mergeCell ref="D32:M32"/>
    <mergeCell ref="D33:M33"/>
    <mergeCell ref="F26:G26"/>
    <mergeCell ref="D39:M39"/>
    <mergeCell ref="C40:M40"/>
    <mergeCell ref="A35:B35"/>
    <mergeCell ref="A36:B36"/>
    <mergeCell ref="C36:M36"/>
    <mergeCell ref="A38:B38"/>
    <mergeCell ref="C38:M38"/>
  </mergeCells>
  <printOptions horizontalCentered="1"/>
  <pageMargins left="0.51181102362204722" right="0.51181102362204722" top="0.78740157480314965" bottom="0.78740157480314965" header="0.31496062992125984" footer="0.31496062992125984"/>
  <pageSetup paperSize="9" scale="95" orientation="portrait" r:id="rId1"/>
  <headerFooter>
    <oddFooter>&amp;L&amp;F&amp;C&amp;A&amp;R&amp;P/&amp;N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60"/>
  <sheetViews>
    <sheetView topLeftCell="A22" workbookViewId="0">
      <selection activeCell="E40" sqref="E40"/>
    </sheetView>
  </sheetViews>
  <sheetFormatPr defaultRowHeight="15"/>
  <cols>
    <col min="1" max="1" width="10.125" style="130" customWidth="1"/>
    <col min="2" max="2" width="6.125" style="130" customWidth="1"/>
    <col min="3" max="3" width="5.875" style="130" customWidth="1"/>
    <col min="4" max="13" width="6.125" style="130" customWidth="1"/>
    <col min="14" max="17" width="9" style="130"/>
    <col min="18" max="18" width="43.25" style="130" customWidth="1"/>
    <col min="19" max="16384" width="9" style="130"/>
  </cols>
  <sheetData>
    <row r="1" spans="1:13" s="129" customFormat="1" ht="39.950000000000003" customHeight="1">
      <c r="A1" s="804" t="s">
        <v>658</v>
      </c>
      <c r="B1" s="804"/>
      <c r="C1" s="804"/>
      <c r="D1" s="804"/>
      <c r="E1" s="804"/>
      <c r="F1" s="804"/>
      <c r="G1" s="804"/>
      <c r="H1" s="804"/>
      <c r="I1" s="804"/>
      <c r="J1" s="804"/>
      <c r="K1" s="804"/>
      <c r="L1" s="804"/>
      <c r="M1" s="804"/>
    </row>
    <row r="3" spans="1:13" ht="20.100000000000001" customHeight="1">
      <c r="A3" s="132" t="s">
        <v>190</v>
      </c>
      <c r="B3" s="152"/>
      <c r="C3" s="133">
        <v>1</v>
      </c>
      <c r="D3" s="901" t="s">
        <v>312</v>
      </c>
      <c r="E3" s="902"/>
      <c r="F3" s="902"/>
      <c r="G3" s="902"/>
      <c r="H3" s="902"/>
      <c r="I3" s="902"/>
      <c r="J3" s="902"/>
      <c r="K3" s="902"/>
      <c r="L3" s="902"/>
      <c r="M3" s="903"/>
    </row>
    <row r="4" spans="1:13" ht="45" customHeight="1">
      <c r="A4" s="896" t="s">
        <v>294</v>
      </c>
      <c r="B4" s="896"/>
      <c r="C4" s="896"/>
      <c r="D4" s="897" t="s">
        <v>286</v>
      </c>
      <c r="E4" s="897"/>
      <c r="F4" s="897"/>
      <c r="G4" s="897"/>
      <c r="H4" s="897"/>
      <c r="I4" s="897"/>
      <c r="J4" s="897"/>
      <c r="K4" s="897"/>
      <c r="L4" s="897"/>
      <c r="M4" s="897"/>
    </row>
    <row r="6" spans="1:13" ht="20.100000000000001" customHeight="1">
      <c r="A6" s="132" t="s">
        <v>192</v>
      </c>
      <c r="B6" s="152"/>
      <c r="C6" s="133">
        <v>4</v>
      </c>
      <c r="D6" s="904" t="s">
        <v>440</v>
      </c>
      <c r="E6" s="905"/>
      <c r="F6" s="905"/>
      <c r="G6" s="905"/>
      <c r="H6" s="905"/>
      <c r="I6" s="905"/>
      <c r="J6" s="905"/>
      <c r="K6" s="905"/>
      <c r="L6" s="905"/>
      <c r="M6" s="906"/>
    </row>
    <row r="7" spans="1:13" ht="45" customHeight="1">
      <c r="A7" s="896" t="s">
        <v>291</v>
      </c>
      <c r="B7" s="896"/>
      <c r="C7" s="896"/>
      <c r="D7" s="897" t="s">
        <v>637</v>
      </c>
      <c r="E7" s="897"/>
      <c r="F7" s="897"/>
      <c r="G7" s="897"/>
      <c r="H7" s="897"/>
      <c r="I7" s="897"/>
      <c r="J7" s="897"/>
      <c r="K7" s="897"/>
      <c r="L7" s="897"/>
      <c r="M7" s="897"/>
    </row>
    <row r="8" spans="1:13" ht="45" customHeight="1">
      <c r="A8" s="896" t="s">
        <v>293</v>
      </c>
      <c r="B8" s="896"/>
      <c r="C8" s="896"/>
      <c r="D8" s="897" t="s">
        <v>638</v>
      </c>
      <c r="E8" s="897"/>
      <c r="F8" s="897"/>
      <c r="G8" s="897"/>
      <c r="H8" s="897"/>
      <c r="I8" s="897"/>
      <c r="J8" s="897"/>
      <c r="K8" s="897"/>
      <c r="L8" s="897"/>
      <c r="M8" s="897"/>
    </row>
    <row r="9" spans="1:13" ht="30" customHeight="1">
      <c r="A9" s="896" t="s">
        <v>292</v>
      </c>
      <c r="B9" s="896"/>
      <c r="C9" s="896"/>
      <c r="D9" s="897" t="s">
        <v>639</v>
      </c>
      <c r="E9" s="897"/>
      <c r="F9" s="897"/>
      <c r="G9" s="897"/>
      <c r="H9" s="897"/>
      <c r="I9" s="897"/>
      <c r="J9" s="897"/>
      <c r="K9" s="897"/>
      <c r="L9" s="897"/>
      <c r="M9" s="897"/>
    </row>
    <row r="11" spans="1:13" ht="30" customHeight="1">
      <c r="A11" s="132" t="s">
        <v>193</v>
      </c>
      <c r="B11" s="152"/>
      <c r="C11" s="133">
        <v>1</v>
      </c>
      <c r="D11" s="907" t="s">
        <v>442</v>
      </c>
      <c r="E11" s="908"/>
      <c r="F11" s="908"/>
      <c r="G11" s="908"/>
      <c r="H11" s="908"/>
      <c r="I11" s="908"/>
      <c r="J11" s="908"/>
      <c r="K11" s="908"/>
      <c r="L11" s="908"/>
      <c r="M11" s="909"/>
    </row>
    <row r="12" spans="1:13" s="150" customFormat="1" ht="20.100000000000001" customHeight="1">
      <c r="A12" s="898" t="s">
        <v>308</v>
      </c>
      <c r="B12" s="899"/>
      <c r="C12" s="900"/>
      <c r="D12" s="897" t="s">
        <v>441</v>
      </c>
      <c r="E12" s="897"/>
      <c r="F12" s="897"/>
      <c r="G12" s="897"/>
      <c r="H12" s="897"/>
      <c r="I12" s="897"/>
      <c r="J12" s="897"/>
      <c r="K12" s="897"/>
      <c r="L12" s="897"/>
      <c r="M12" s="897"/>
    </row>
    <row r="13" spans="1:13" ht="30" customHeight="1">
      <c r="A13" s="896" t="s">
        <v>296</v>
      </c>
      <c r="B13" s="896"/>
      <c r="C13" s="896"/>
      <c r="D13" s="897" t="s">
        <v>643</v>
      </c>
      <c r="E13" s="897"/>
      <c r="F13" s="897"/>
      <c r="G13" s="897"/>
      <c r="H13" s="897"/>
      <c r="I13" s="897"/>
      <c r="J13" s="897"/>
      <c r="K13" s="897"/>
      <c r="L13" s="897"/>
      <c r="M13" s="897"/>
    </row>
    <row r="14" spans="1:13" ht="20.100000000000001" customHeight="1">
      <c r="A14" s="896" t="s">
        <v>311</v>
      </c>
      <c r="B14" s="896"/>
      <c r="C14" s="896"/>
      <c r="D14" s="897" t="s">
        <v>644</v>
      </c>
      <c r="E14" s="897"/>
      <c r="F14" s="897"/>
      <c r="G14" s="897"/>
      <c r="H14" s="897"/>
      <c r="I14" s="897"/>
      <c r="J14" s="897"/>
      <c r="K14" s="897"/>
      <c r="L14" s="897"/>
      <c r="M14" s="897"/>
    </row>
    <row r="15" spans="1:13" s="150" customFormat="1" ht="20.100000000000001" customHeight="1">
      <c r="A15" s="898" t="s">
        <v>305</v>
      </c>
      <c r="B15" s="899"/>
      <c r="C15" s="900"/>
      <c r="D15" s="897" t="s">
        <v>304</v>
      </c>
      <c r="E15" s="897"/>
      <c r="F15" s="897"/>
      <c r="G15" s="897"/>
      <c r="H15" s="897"/>
      <c r="I15" s="897"/>
      <c r="J15" s="897"/>
      <c r="K15" s="897"/>
      <c r="L15" s="897"/>
      <c r="M15" s="897"/>
    </row>
    <row r="16" spans="1:13" ht="45" customHeight="1">
      <c r="A16" s="896" t="s">
        <v>297</v>
      </c>
      <c r="B16" s="896"/>
      <c r="C16" s="896"/>
      <c r="D16" s="897" t="s">
        <v>640</v>
      </c>
      <c r="E16" s="897"/>
      <c r="F16" s="897"/>
      <c r="G16" s="897"/>
      <c r="H16" s="897"/>
      <c r="I16" s="897"/>
      <c r="J16" s="897"/>
      <c r="K16" s="897"/>
      <c r="L16" s="897"/>
      <c r="M16" s="897"/>
    </row>
    <row r="17" spans="1:13" ht="60" customHeight="1">
      <c r="A17" s="896" t="s">
        <v>299</v>
      </c>
      <c r="B17" s="896"/>
      <c r="C17" s="896"/>
      <c r="D17" s="897" t="s">
        <v>641</v>
      </c>
      <c r="E17" s="897"/>
      <c r="F17" s="897"/>
      <c r="G17" s="897"/>
      <c r="H17" s="897"/>
      <c r="I17" s="897"/>
      <c r="J17" s="897"/>
      <c r="K17" s="897"/>
      <c r="L17" s="897"/>
      <c r="M17" s="897"/>
    </row>
    <row r="18" spans="1:13" ht="30" customHeight="1">
      <c r="A18" s="896" t="s">
        <v>292</v>
      </c>
      <c r="B18" s="896"/>
      <c r="C18" s="896"/>
      <c r="D18" s="897" t="s">
        <v>645</v>
      </c>
      <c r="E18" s="897"/>
      <c r="F18" s="897"/>
      <c r="G18" s="897"/>
      <c r="H18" s="897"/>
      <c r="I18" s="897"/>
      <c r="J18" s="897"/>
      <c r="K18" s="897"/>
      <c r="L18" s="897"/>
      <c r="M18" s="897"/>
    </row>
    <row r="19" spans="1:13" ht="20.100000000000001" customHeight="1">
      <c r="A19" s="896" t="s">
        <v>302</v>
      </c>
      <c r="B19" s="896"/>
      <c r="C19" s="896"/>
      <c r="D19" s="897" t="s">
        <v>642</v>
      </c>
      <c r="E19" s="897"/>
      <c r="F19" s="897"/>
      <c r="G19" s="897"/>
      <c r="H19" s="897"/>
      <c r="I19" s="897"/>
      <c r="J19" s="897"/>
      <c r="K19" s="897"/>
      <c r="L19" s="897"/>
      <c r="M19" s="897"/>
    </row>
    <row r="20" spans="1:13" ht="20.100000000000001" customHeight="1">
      <c r="A20" s="896" t="s">
        <v>303</v>
      </c>
      <c r="B20" s="896"/>
      <c r="C20" s="896"/>
      <c r="D20" s="897" t="s">
        <v>224</v>
      </c>
      <c r="E20" s="897"/>
      <c r="F20" s="897"/>
      <c r="G20" s="897"/>
      <c r="H20" s="897"/>
      <c r="I20" s="897"/>
      <c r="J20" s="897"/>
      <c r="K20" s="897"/>
      <c r="L20" s="897"/>
      <c r="M20" s="897"/>
    </row>
    <row r="21" spans="1:13" ht="20.100000000000001" customHeight="1"/>
    <row r="22" spans="1:13" ht="20.100000000000001" customHeight="1">
      <c r="A22" s="151" t="s">
        <v>339</v>
      </c>
      <c r="B22" s="894" t="s">
        <v>313</v>
      </c>
      <c r="C22" s="895"/>
      <c r="D22" s="893">
        <v>2021</v>
      </c>
      <c r="E22" s="893"/>
      <c r="F22" s="893">
        <v>2022</v>
      </c>
      <c r="G22" s="893"/>
      <c r="H22" s="893">
        <v>2023</v>
      </c>
      <c r="I22" s="893"/>
      <c r="J22" s="893">
        <v>2024</v>
      </c>
      <c r="K22" s="893"/>
      <c r="L22" s="893">
        <v>2025</v>
      </c>
      <c r="M22" s="893"/>
    </row>
    <row r="23" spans="1:13" ht="20.100000000000001" customHeight="1">
      <c r="A23" s="134" t="str">
        <f>D12</f>
        <v>1.4.1</v>
      </c>
      <c r="B23" s="889">
        <f>SUM(D23:M23)</f>
        <v>5</v>
      </c>
      <c r="C23" s="890"/>
      <c r="D23" s="889">
        <v>1</v>
      </c>
      <c r="E23" s="890"/>
      <c r="F23" s="889">
        <v>1</v>
      </c>
      <c r="G23" s="890"/>
      <c r="H23" s="889">
        <v>1</v>
      </c>
      <c r="I23" s="890"/>
      <c r="J23" s="889">
        <v>1</v>
      </c>
      <c r="K23" s="890"/>
      <c r="L23" s="889">
        <v>1</v>
      </c>
      <c r="M23" s="890"/>
    </row>
    <row r="24" spans="1:13" ht="20.100000000000001" customHeight="1"/>
    <row r="25" spans="1:13" ht="20.100000000000001" customHeight="1">
      <c r="A25" s="151" t="s">
        <v>339</v>
      </c>
      <c r="B25" s="894" t="s">
        <v>173</v>
      </c>
      <c r="C25" s="895"/>
      <c r="D25" s="893">
        <v>2021</v>
      </c>
      <c r="E25" s="893"/>
      <c r="F25" s="893">
        <v>2022</v>
      </c>
      <c r="G25" s="893"/>
      <c r="H25" s="893">
        <v>2023</v>
      </c>
      <c r="I25" s="893"/>
      <c r="J25" s="893">
        <v>2024</v>
      </c>
      <c r="K25" s="893"/>
      <c r="L25" s="893">
        <v>2025</v>
      </c>
      <c r="M25" s="893"/>
    </row>
    <row r="26" spans="1:13" ht="20.100000000000001" customHeight="1">
      <c r="A26" s="134" t="str">
        <f>D12</f>
        <v>1.4.1</v>
      </c>
      <c r="B26" s="886">
        <f>SUM(D26:M26)</f>
        <v>3485403.5673600002</v>
      </c>
      <c r="C26" s="887"/>
      <c r="D26" s="886">
        <f>2574000*25%</f>
        <v>643500</v>
      </c>
      <c r="E26" s="890"/>
      <c r="F26" s="886">
        <f>D26*(1+$A$28)</f>
        <v>669240</v>
      </c>
      <c r="G26" s="890"/>
      <c r="H26" s="886">
        <f>F26*(1+$A$28)</f>
        <v>696009.6</v>
      </c>
      <c r="I26" s="890"/>
      <c r="J26" s="886">
        <f>H26*(1+$A$28)</f>
        <v>723849.98400000005</v>
      </c>
      <c r="K26" s="890"/>
      <c r="L26" s="886">
        <f>J26*(1+$A$28)</f>
        <v>752803.98336000007</v>
      </c>
      <c r="M26" s="890"/>
    </row>
    <row r="28" spans="1:13">
      <c r="A28" s="552">
        <v>0.04</v>
      </c>
      <c r="B28" s="130" t="s">
        <v>646</v>
      </c>
    </row>
    <row r="30" spans="1:13" s="129" customFormat="1" ht="39.950000000000003" customHeight="1">
      <c r="A30" s="804" t="s">
        <v>341</v>
      </c>
      <c r="B30" s="804"/>
      <c r="C30" s="804"/>
      <c r="D30" s="804"/>
      <c r="E30" s="804"/>
      <c r="F30" s="804"/>
      <c r="G30" s="804"/>
      <c r="H30" s="804"/>
      <c r="I30" s="804"/>
      <c r="J30" s="804"/>
      <c r="K30" s="804"/>
      <c r="L30" s="804"/>
      <c r="M30" s="804"/>
    </row>
    <row r="32" spans="1:13" ht="30" customHeight="1">
      <c r="A32" s="155" t="str">
        <f>A3</f>
        <v>FINALIDADE</v>
      </c>
      <c r="B32" s="154"/>
      <c r="C32" s="250">
        <f>C3</f>
        <v>1</v>
      </c>
      <c r="D32" s="892" t="str">
        <f>D3</f>
        <v>Gestão de recursos hídricos</v>
      </c>
      <c r="E32" s="892"/>
      <c r="F32" s="892"/>
      <c r="G32" s="892"/>
      <c r="H32" s="892"/>
      <c r="I32" s="892"/>
      <c r="J32" s="892"/>
      <c r="K32" s="892"/>
      <c r="L32" s="892"/>
      <c r="M32" s="892"/>
    </row>
    <row r="33" spans="1:18" ht="30" customHeight="1">
      <c r="A33" s="157" t="str">
        <f>A6</f>
        <v>PROGRAMA</v>
      </c>
      <c r="B33" s="159"/>
      <c r="C33" s="167">
        <f>C6</f>
        <v>4</v>
      </c>
      <c r="D33" s="885" t="str">
        <f>D6</f>
        <v xml:space="preserve">Sistema de informações sobre recursos hídricos </v>
      </c>
      <c r="E33" s="885"/>
      <c r="F33" s="885"/>
      <c r="G33" s="885"/>
      <c r="H33" s="885"/>
      <c r="I33" s="885"/>
      <c r="J33" s="885"/>
      <c r="K33" s="885"/>
      <c r="L33" s="885"/>
      <c r="M33" s="885"/>
    </row>
    <row r="34" spans="1:18" ht="30" customHeight="1">
      <c r="A34" s="156" t="str">
        <f>A11</f>
        <v>AÇÃO</v>
      </c>
      <c r="B34" s="160"/>
      <c r="C34" s="167">
        <f>C11</f>
        <v>1</v>
      </c>
      <c r="D34" s="885" t="str">
        <f>D11</f>
        <v>Desenvolvimento, implantação, manutenção ou atualização de sistemas de informações e de suporte à decisão sobre recursos hídricos</v>
      </c>
      <c r="E34" s="885"/>
      <c r="F34" s="885"/>
      <c r="G34" s="885"/>
      <c r="H34" s="885"/>
      <c r="I34" s="885"/>
      <c r="J34" s="885"/>
      <c r="K34" s="885"/>
      <c r="L34" s="885"/>
      <c r="M34" s="885"/>
    </row>
    <row r="35" spans="1:18" ht="30" customHeight="1">
      <c r="A35" s="165" t="s">
        <v>317</v>
      </c>
      <c r="B35" s="166"/>
      <c r="C35" s="167">
        <v>1</v>
      </c>
      <c r="D35" s="885" t="s">
        <v>655</v>
      </c>
      <c r="E35" s="885"/>
      <c r="F35" s="885"/>
      <c r="G35" s="885"/>
      <c r="H35" s="885"/>
      <c r="I35" s="885"/>
      <c r="J35" s="885"/>
      <c r="K35" s="885"/>
      <c r="L35" s="885"/>
      <c r="M35" s="885"/>
    </row>
    <row r="36" spans="1:18" s="150" customFormat="1" ht="30" customHeight="1">
      <c r="A36" s="878" t="s">
        <v>308</v>
      </c>
      <c r="B36" s="879"/>
      <c r="C36" s="560"/>
      <c r="D36" s="551">
        <f>C32</f>
        <v>1</v>
      </c>
      <c r="E36" s="551">
        <f>C33</f>
        <v>4</v>
      </c>
      <c r="F36" s="551">
        <f>C34</f>
        <v>1</v>
      </c>
      <c r="G36" s="551">
        <f>C35</f>
        <v>1</v>
      </c>
      <c r="H36" s="560"/>
      <c r="I36" s="560"/>
      <c r="J36" s="560"/>
      <c r="K36" s="560"/>
      <c r="L36" s="560"/>
      <c r="M36" s="561"/>
      <c r="R36" s="554"/>
    </row>
    <row r="37" spans="1:18" s="150" customFormat="1" ht="109.5" customHeight="1">
      <c r="A37" s="880" t="s">
        <v>321</v>
      </c>
      <c r="B37" s="881"/>
      <c r="C37" s="882" t="s">
        <v>647</v>
      </c>
      <c r="D37" s="882"/>
      <c r="E37" s="882"/>
      <c r="F37" s="882"/>
      <c r="G37" s="882"/>
      <c r="H37" s="882"/>
      <c r="I37" s="882"/>
      <c r="J37" s="882"/>
      <c r="K37" s="882"/>
      <c r="L37" s="882"/>
      <c r="M37" s="882"/>
      <c r="P37" s="158"/>
      <c r="Q37" s="253"/>
      <c r="R37" s="553"/>
    </row>
    <row r="38" spans="1:18" s="150" customFormat="1" ht="20.100000000000001" customHeight="1">
      <c r="P38" s="158"/>
    </row>
    <row r="39" spans="1:18" s="150" customFormat="1" ht="35.1" customHeight="1">
      <c r="A39" s="878" t="s">
        <v>650</v>
      </c>
      <c r="B39" s="879"/>
      <c r="C39" s="883" t="s">
        <v>652</v>
      </c>
      <c r="D39" s="883"/>
      <c r="E39" s="883"/>
      <c r="F39" s="883"/>
      <c r="G39" s="883"/>
      <c r="H39" s="883"/>
      <c r="I39" s="883"/>
      <c r="J39" s="883"/>
      <c r="K39" s="883"/>
      <c r="L39" s="883"/>
      <c r="M39" s="884"/>
      <c r="P39" s="158"/>
    </row>
    <row r="40" spans="1:18" s="150" customFormat="1" ht="20.100000000000001" customHeight="1">
      <c r="A40" s="247" t="s">
        <v>338</v>
      </c>
      <c r="B40" s="249"/>
      <c r="C40" s="255" t="s">
        <v>648</v>
      </c>
      <c r="D40" s="873" t="s">
        <v>649</v>
      </c>
      <c r="E40" s="874"/>
      <c r="F40" s="874"/>
      <c r="G40" s="874"/>
      <c r="H40" s="874"/>
      <c r="I40" s="874"/>
      <c r="J40" s="874"/>
      <c r="K40" s="874"/>
      <c r="L40" s="874"/>
      <c r="M40" s="875"/>
      <c r="P40" s="158"/>
    </row>
    <row r="41" spans="1:18" s="150" customFormat="1" ht="20.100000000000001" customHeight="1">
      <c r="A41" s="248" t="s">
        <v>340</v>
      </c>
      <c r="B41" s="246"/>
      <c r="C41" s="876" t="s">
        <v>651</v>
      </c>
      <c r="D41" s="876"/>
      <c r="E41" s="876"/>
      <c r="F41" s="876"/>
      <c r="G41" s="876"/>
      <c r="H41" s="876"/>
      <c r="I41" s="876"/>
      <c r="J41" s="876"/>
      <c r="K41" s="876"/>
      <c r="L41" s="876"/>
      <c r="M41" s="877"/>
      <c r="P41" s="158"/>
    </row>
    <row r="42" spans="1:18" s="150" customFormat="1" ht="20.100000000000001" customHeight="1">
      <c r="A42" s="161" t="s">
        <v>327</v>
      </c>
      <c r="B42" s="162">
        <v>1</v>
      </c>
      <c r="C42" s="162">
        <v>2</v>
      </c>
      <c r="D42" s="162">
        <v>3</v>
      </c>
      <c r="E42" s="162">
        <v>4</v>
      </c>
      <c r="F42" s="162">
        <v>5</v>
      </c>
      <c r="G42" s="162">
        <v>6</v>
      </c>
      <c r="H42" s="162">
        <v>7</v>
      </c>
      <c r="I42" s="162">
        <v>8</v>
      </c>
      <c r="J42" s="162">
        <v>9</v>
      </c>
      <c r="K42" s="162">
        <v>10</v>
      </c>
      <c r="L42" s="162">
        <v>11</v>
      </c>
      <c r="M42" s="162">
        <v>12</v>
      </c>
    </row>
    <row r="43" spans="1:18" s="150" customFormat="1" ht="20.100000000000001" customHeight="1">
      <c r="A43" s="161" t="s">
        <v>328</v>
      </c>
      <c r="B43" s="164"/>
      <c r="C43" s="164"/>
      <c r="D43" s="164"/>
      <c r="E43" s="164"/>
      <c r="F43" s="164"/>
      <c r="G43" s="164"/>
      <c r="H43" s="164"/>
      <c r="I43" s="164"/>
      <c r="J43" s="164"/>
      <c r="K43" s="164"/>
      <c r="L43" s="164"/>
      <c r="M43" s="164"/>
    </row>
    <row r="44" spans="1:18" s="150" customFormat="1" ht="20.100000000000001" customHeight="1">
      <c r="A44" s="161" t="s">
        <v>329</v>
      </c>
      <c r="B44" s="243">
        <f>$D$26/12</f>
        <v>53625</v>
      </c>
      <c r="C44" s="243">
        <f t="shared" ref="C44:M44" si="0">$D$26/12</f>
        <v>53625</v>
      </c>
      <c r="D44" s="243">
        <f t="shared" si="0"/>
        <v>53625</v>
      </c>
      <c r="E44" s="243">
        <f t="shared" si="0"/>
        <v>53625</v>
      </c>
      <c r="F44" s="243">
        <f t="shared" si="0"/>
        <v>53625</v>
      </c>
      <c r="G44" s="243">
        <f t="shared" si="0"/>
        <v>53625</v>
      </c>
      <c r="H44" s="243">
        <f t="shared" si="0"/>
        <v>53625</v>
      </c>
      <c r="I44" s="243">
        <f t="shared" si="0"/>
        <v>53625</v>
      </c>
      <c r="J44" s="243">
        <f t="shared" si="0"/>
        <v>53625</v>
      </c>
      <c r="K44" s="243">
        <f t="shared" si="0"/>
        <v>53625</v>
      </c>
      <c r="L44" s="243">
        <f t="shared" si="0"/>
        <v>53625</v>
      </c>
      <c r="M44" s="243">
        <f t="shared" si="0"/>
        <v>53625</v>
      </c>
    </row>
    <row r="45" spans="1:18" s="150" customFormat="1" ht="20.100000000000001" customHeight="1"/>
    <row r="46" spans="1:18" s="150" customFormat="1" ht="20.100000000000001" customHeight="1">
      <c r="A46" s="161" t="s">
        <v>327</v>
      </c>
      <c r="B46" s="162">
        <v>13</v>
      </c>
      <c r="C46" s="162">
        <v>14</v>
      </c>
      <c r="D46" s="162">
        <v>15</v>
      </c>
      <c r="E46" s="162">
        <v>16</v>
      </c>
      <c r="F46" s="162">
        <v>17</v>
      </c>
      <c r="G46" s="162">
        <v>18</v>
      </c>
      <c r="H46" s="162">
        <v>19</v>
      </c>
      <c r="I46" s="162">
        <v>20</v>
      </c>
      <c r="J46" s="162">
        <v>21</v>
      </c>
      <c r="K46" s="162">
        <v>22</v>
      </c>
      <c r="L46" s="162">
        <v>23</v>
      </c>
      <c r="M46" s="162">
        <v>24</v>
      </c>
    </row>
    <row r="47" spans="1:18" s="150" customFormat="1" ht="20.100000000000001" customHeight="1">
      <c r="A47" s="161" t="s">
        <v>328</v>
      </c>
      <c r="B47" s="164"/>
      <c r="C47" s="164"/>
      <c r="D47" s="164"/>
      <c r="E47" s="164"/>
      <c r="F47" s="164"/>
      <c r="G47" s="164"/>
      <c r="H47" s="164"/>
      <c r="I47" s="164"/>
      <c r="J47" s="164"/>
      <c r="K47" s="164"/>
      <c r="L47" s="164"/>
      <c r="M47" s="164"/>
    </row>
    <row r="48" spans="1:18" s="150" customFormat="1" ht="20.100000000000001" customHeight="1">
      <c r="A48" s="161" t="s">
        <v>329</v>
      </c>
      <c r="B48" s="243">
        <f>$F$26/12</f>
        <v>55770</v>
      </c>
      <c r="C48" s="243">
        <f t="shared" ref="C48:M48" si="1">$F$26/12</f>
        <v>55770</v>
      </c>
      <c r="D48" s="243">
        <f t="shared" si="1"/>
        <v>55770</v>
      </c>
      <c r="E48" s="243">
        <f t="shared" si="1"/>
        <v>55770</v>
      </c>
      <c r="F48" s="243">
        <f t="shared" si="1"/>
        <v>55770</v>
      </c>
      <c r="G48" s="243">
        <f t="shared" si="1"/>
        <v>55770</v>
      </c>
      <c r="H48" s="243">
        <f t="shared" si="1"/>
        <v>55770</v>
      </c>
      <c r="I48" s="243">
        <f t="shared" si="1"/>
        <v>55770</v>
      </c>
      <c r="J48" s="243">
        <f t="shared" si="1"/>
        <v>55770</v>
      </c>
      <c r="K48" s="243">
        <f t="shared" si="1"/>
        <v>55770</v>
      </c>
      <c r="L48" s="243">
        <f t="shared" si="1"/>
        <v>55770</v>
      </c>
      <c r="M48" s="243">
        <f t="shared" si="1"/>
        <v>55770</v>
      </c>
    </row>
    <row r="49" spans="1:13" s="150" customFormat="1" ht="20.100000000000001" customHeight="1"/>
    <row r="50" spans="1:13" s="150" customFormat="1" ht="20.100000000000001" customHeight="1">
      <c r="A50" s="161" t="s">
        <v>327</v>
      </c>
      <c r="B50" s="162">
        <v>25</v>
      </c>
      <c r="C50" s="162">
        <v>26</v>
      </c>
      <c r="D50" s="162">
        <v>27</v>
      </c>
      <c r="E50" s="162">
        <v>28</v>
      </c>
      <c r="F50" s="162">
        <v>29</v>
      </c>
      <c r="G50" s="162">
        <v>30</v>
      </c>
      <c r="H50" s="162">
        <v>31</v>
      </c>
      <c r="I50" s="162">
        <v>32</v>
      </c>
      <c r="J50" s="162">
        <v>33</v>
      </c>
      <c r="K50" s="162">
        <v>34</v>
      </c>
      <c r="L50" s="162">
        <v>35</v>
      </c>
      <c r="M50" s="162">
        <v>36</v>
      </c>
    </row>
    <row r="51" spans="1:13" s="150" customFormat="1" ht="20.100000000000001" customHeight="1">
      <c r="A51" s="161" t="s">
        <v>328</v>
      </c>
      <c r="B51" s="164"/>
      <c r="C51" s="164"/>
      <c r="D51" s="164"/>
      <c r="E51" s="164"/>
      <c r="F51" s="164"/>
      <c r="G51" s="164"/>
      <c r="H51" s="164"/>
      <c r="I51" s="164"/>
      <c r="J51" s="164"/>
      <c r="K51" s="164"/>
      <c r="L51" s="164"/>
      <c r="M51" s="164"/>
    </row>
    <row r="52" spans="1:13" s="150" customFormat="1" ht="20.100000000000001" customHeight="1">
      <c r="A52" s="161" t="s">
        <v>329</v>
      </c>
      <c r="B52" s="243">
        <f>$H$26/12</f>
        <v>58000.799999999996</v>
      </c>
      <c r="C52" s="243">
        <f t="shared" ref="C52:M52" si="2">$H$26/12</f>
        <v>58000.799999999996</v>
      </c>
      <c r="D52" s="243">
        <f t="shared" si="2"/>
        <v>58000.799999999996</v>
      </c>
      <c r="E52" s="243">
        <f t="shared" si="2"/>
        <v>58000.799999999996</v>
      </c>
      <c r="F52" s="243">
        <f t="shared" si="2"/>
        <v>58000.799999999996</v>
      </c>
      <c r="G52" s="243">
        <f t="shared" si="2"/>
        <v>58000.799999999996</v>
      </c>
      <c r="H52" s="243">
        <f t="shared" si="2"/>
        <v>58000.799999999996</v>
      </c>
      <c r="I52" s="243">
        <f t="shared" si="2"/>
        <v>58000.799999999996</v>
      </c>
      <c r="J52" s="243">
        <f t="shared" si="2"/>
        <v>58000.799999999996</v>
      </c>
      <c r="K52" s="243">
        <f t="shared" si="2"/>
        <v>58000.799999999996</v>
      </c>
      <c r="L52" s="243">
        <f t="shared" si="2"/>
        <v>58000.799999999996</v>
      </c>
      <c r="M52" s="243">
        <f t="shared" si="2"/>
        <v>58000.799999999996</v>
      </c>
    </row>
    <row r="54" spans="1:13" s="150" customFormat="1" ht="20.100000000000001" customHeight="1">
      <c r="A54" s="161" t="s">
        <v>327</v>
      </c>
      <c r="B54" s="162">
        <v>37</v>
      </c>
      <c r="C54" s="162">
        <v>38</v>
      </c>
      <c r="D54" s="162">
        <v>39</v>
      </c>
      <c r="E54" s="162">
        <v>40</v>
      </c>
      <c r="F54" s="162">
        <v>41</v>
      </c>
      <c r="G54" s="162">
        <v>42</v>
      </c>
      <c r="H54" s="162">
        <v>43</v>
      </c>
      <c r="I54" s="162">
        <v>44</v>
      </c>
      <c r="J54" s="162">
        <v>45</v>
      </c>
      <c r="K54" s="162">
        <v>46</v>
      </c>
      <c r="L54" s="162">
        <v>47</v>
      </c>
      <c r="M54" s="162">
        <v>48</v>
      </c>
    </row>
    <row r="55" spans="1:13" s="150" customFormat="1" ht="20.100000000000001" customHeight="1">
      <c r="A55" s="161" t="s">
        <v>328</v>
      </c>
      <c r="B55" s="164"/>
      <c r="C55" s="164"/>
      <c r="D55" s="164"/>
      <c r="E55" s="164"/>
      <c r="F55" s="164"/>
      <c r="G55" s="164"/>
      <c r="H55" s="164"/>
      <c r="I55" s="164"/>
      <c r="J55" s="164"/>
      <c r="K55" s="164"/>
      <c r="L55" s="164"/>
      <c r="M55" s="164"/>
    </row>
    <row r="56" spans="1:13" s="150" customFormat="1" ht="20.100000000000001" customHeight="1">
      <c r="A56" s="161" t="s">
        <v>329</v>
      </c>
      <c r="B56" s="243">
        <f>$J$26/12</f>
        <v>60320.832000000002</v>
      </c>
      <c r="C56" s="243">
        <f t="shared" ref="C56:M56" si="3">$J$26/12</f>
        <v>60320.832000000002</v>
      </c>
      <c r="D56" s="243">
        <f t="shared" si="3"/>
        <v>60320.832000000002</v>
      </c>
      <c r="E56" s="243">
        <f t="shared" si="3"/>
        <v>60320.832000000002</v>
      </c>
      <c r="F56" s="243">
        <f t="shared" si="3"/>
        <v>60320.832000000002</v>
      </c>
      <c r="G56" s="243">
        <f t="shared" si="3"/>
        <v>60320.832000000002</v>
      </c>
      <c r="H56" s="243">
        <f t="shared" si="3"/>
        <v>60320.832000000002</v>
      </c>
      <c r="I56" s="243">
        <f t="shared" si="3"/>
        <v>60320.832000000002</v>
      </c>
      <c r="J56" s="243">
        <f t="shared" si="3"/>
        <v>60320.832000000002</v>
      </c>
      <c r="K56" s="243">
        <f t="shared" si="3"/>
        <v>60320.832000000002</v>
      </c>
      <c r="L56" s="243">
        <f t="shared" si="3"/>
        <v>60320.832000000002</v>
      </c>
      <c r="M56" s="243">
        <f t="shared" si="3"/>
        <v>60320.832000000002</v>
      </c>
    </row>
    <row r="58" spans="1:13" s="150" customFormat="1" ht="20.100000000000001" customHeight="1">
      <c r="A58" s="161" t="s">
        <v>327</v>
      </c>
      <c r="B58" s="162">
        <v>49</v>
      </c>
      <c r="C58" s="162">
        <v>50</v>
      </c>
      <c r="D58" s="162">
        <v>51</v>
      </c>
      <c r="E58" s="162">
        <v>52</v>
      </c>
      <c r="F58" s="162">
        <v>53</v>
      </c>
      <c r="G58" s="162">
        <v>54</v>
      </c>
      <c r="H58" s="162">
        <v>55</v>
      </c>
      <c r="I58" s="162">
        <v>56</v>
      </c>
      <c r="J58" s="162">
        <v>57</v>
      </c>
      <c r="K58" s="162">
        <v>58</v>
      </c>
      <c r="L58" s="162">
        <v>59</v>
      </c>
      <c r="M58" s="162">
        <v>60</v>
      </c>
    </row>
    <row r="59" spans="1:13" s="150" customFormat="1" ht="20.100000000000001" customHeight="1">
      <c r="A59" s="161" t="s">
        <v>328</v>
      </c>
      <c r="B59" s="164"/>
      <c r="C59" s="164"/>
      <c r="D59" s="164"/>
      <c r="E59" s="164"/>
      <c r="F59" s="164"/>
      <c r="G59" s="164"/>
      <c r="H59" s="164"/>
      <c r="I59" s="164"/>
      <c r="J59" s="164"/>
      <c r="K59" s="164"/>
      <c r="L59" s="164"/>
      <c r="M59" s="164"/>
    </row>
    <row r="60" spans="1:13" s="150" customFormat="1" ht="20.100000000000001" customHeight="1">
      <c r="A60" s="161" t="s">
        <v>329</v>
      </c>
      <c r="B60" s="243">
        <f>$L$26/12</f>
        <v>62733.665280000008</v>
      </c>
      <c r="C60" s="243">
        <f t="shared" ref="C60:M60" si="4">$L$26/12</f>
        <v>62733.665280000008</v>
      </c>
      <c r="D60" s="243">
        <f t="shared" si="4"/>
        <v>62733.665280000008</v>
      </c>
      <c r="E60" s="243">
        <f t="shared" si="4"/>
        <v>62733.665280000008</v>
      </c>
      <c r="F60" s="243">
        <f t="shared" si="4"/>
        <v>62733.665280000008</v>
      </c>
      <c r="G60" s="243">
        <f t="shared" si="4"/>
        <v>62733.665280000008</v>
      </c>
      <c r="H60" s="243">
        <f t="shared" si="4"/>
        <v>62733.665280000008</v>
      </c>
      <c r="I60" s="243">
        <f t="shared" si="4"/>
        <v>62733.665280000008</v>
      </c>
      <c r="J60" s="243">
        <f t="shared" si="4"/>
        <v>62733.665280000008</v>
      </c>
      <c r="K60" s="243">
        <f t="shared" si="4"/>
        <v>62733.665280000008</v>
      </c>
      <c r="L60" s="243">
        <f t="shared" si="4"/>
        <v>62733.665280000008</v>
      </c>
      <c r="M60" s="243">
        <f t="shared" si="4"/>
        <v>62733.665280000008</v>
      </c>
    </row>
  </sheetData>
  <mergeCells count="66">
    <mergeCell ref="D40:M40"/>
    <mergeCell ref="C41:M41"/>
    <mergeCell ref="F23:G23"/>
    <mergeCell ref="D23:E23"/>
    <mergeCell ref="A36:B36"/>
    <mergeCell ref="A37:B37"/>
    <mergeCell ref="C37:M37"/>
    <mergeCell ref="A39:B39"/>
    <mergeCell ref="C39:M39"/>
    <mergeCell ref="A30:M30"/>
    <mergeCell ref="D32:M32"/>
    <mergeCell ref="D33:M33"/>
    <mergeCell ref="D34:M34"/>
    <mergeCell ref="D35:M35"/>
    <mergeCell ref="B26:C26"/>
    <mergeCell ref="D26:E26"/>
    <mergeCell ref="F26:G26"/>
    <mergeCell ref="H26:I26"/>
    <mergeCell ref="J26:K26"/>
    <mergeCell ref="L26:M26"/>
    <mergeCell ref="B23:C23"/>
    <mergeCell ref="H23:I23"/>
    <mergeCell ref="J23:K23"/>
    <mergeCell ref="L23:M23"/>
    <mergeCell ref="B25:C25"/>
    <mergeCell ref="D25:E25"/>
    <mergeCell ref="F25:G25"/>
    <mergeCell ref="H25:I25"/>
    <mergeCell ref="J25:K25"/>
    <mergeCell ref="L25:M25"/>
    <mergeCell ref="A19:C19"/>
    <mergeCell ref="D19:M19"/>
    <mergeCell ref="A20:C20"/>
    <mergeCell ref="D20:M20"/>
    <mergeCell ref="B22:C22"/>
    <mergeCell ref="D22:E22"/>
    <mergeCell ref="F22:G22"/>
    <mergeCell ref="H22:I22"/>
    <mergeCell ref="J22:K22"/>
    <mergeCell ref="L22:M22"/>
    <mergeCell ref="A16:C16"/>
    <mergeCell ref="D16:M16"/>
    <mergeCell ref="A17:C17"/>
    <mergeCell ref="D17:M17"/>
    <mergeCell ref="A18:C18"/>
    <mergeCell ref="D18:M18"/>
    <mergeCell ref="A13:C13"/>
    <mergeCell ref="D13:M13"/>
    <mergeCell ref="A14:C14"/>
    <mergeCell ref="D14:M14"/>
    <mergeCell ref="A15:C15"/>
    <mergeCell ref="D15:M15"/>
    <mergeCell ref="A12:C12"/>
    <mergeCell ref="D12:M12"/>
    <mergeCell ref="A1:M1"/>
    <mergeCell ref="D3:M3"/>
    <mergeCell ref="A4:C4"/>
    <mergeCell ref="D4:M4"/>
    <mergeCell ref="D6:M6"/>
    <mergeCell ref="A7:C7"/>
    <mergeCell ref="D7:M7"/>
    <mergeCell ref="A8:C8"/>
    <mergeCell ref="D8:M8"/>
    <mergeCell ref="A9:C9"/>
    <mergeCell ref="D9:M9"/>
    <mergeCell ref="D11:M11"/>
  </mergeCells>
  <printOptions horizontalCentered="1"/>
  <pageMargins left="0.51181102362204722" right="0.51181102362204722" top="0.78740157480314965" bottom="0.78740157480314965" header="0.31496062992125984" footer="0.31496062992125984"/>
  <pageSetup paperSize="9" scale="95" orientation="portrait" r:id="rId1"/>
  <headerFooter>
    <oddFooter>&amp;L&amp;F&amp;C&amp;A&amp;R&amp;P/&amp;N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56"/>
  <sheetViews>
    <sheetView workbookViewId="0">
      <selection activeCell="E40" sqref="E40"/>
    </sheetView>
  </sheetViews>
  <sheetFormatPr defaultRowHeight="15"/>
  <cols>
    <col min="1" max="1" width="10.125" style="130" customWidth="1"/>
    <col min="2" max="2" width="6.125" style="130" customWidth="1"/>
    <col min="3" max="3" width="5.875" style="130" customWidth="1"/>
    <col min="4" max="13" width="6.125" style="130" customWidth="1"/>
    <col min="14" max="17" width="9" style="130"/>
    <col min="18" max="18" width="43.25" style="130" customWidth="1"/>
    <col min="19" max="16384" width="9" style="130"/>
  </cols>
  <sheetData>
    <row r="1" spans="1:13" s="129" customFormat="1" ht="39.950000000000003" customHeight="1">
      <c r="A1" s="804" t="s">
        <v>322</v>
      </c>
      <c r="B1" s="804"/>
      <c r="C1" s="804"/>
      <c r="D1" s="804"/>
      <c r="E1" s="804"/>
      <c r="F1" s="804"/>
      <c r="G1" s="804"/>
      <c r="H1" s="804"/>
      <c r="I1" s="804"/>
      <c r="J1" s="804"/>
      <c r="K1" s="804"/>
      <c r="L1" s="804"/>
      <c r="M1" s="804"/>
    </row>
    <row r="3" spans="1:13" ht="20.100000000000001" customHeight="1">
      <c r="A3" s="132" t="s">
        <v>190</v>
      </c>
      <c r="B3" s="152"/>
      <c r="C3" s="133">
        <v>1</v>
      </c>
      <c r="D3" s="901" t="s">
        <v>312</v>
      </c>
      <c r="E3" s="902"/>
      <c r="F3" s="902"/>
      <c r="G3" s="902"/>
      <c r="H3" s="902"/>
      <c r="I3" s="902"/>
      <c r="J3" s="902"/>
      <c r="K3" s="902"/>
      <c r="L3" s="902"/>
      <c r="M3" s="903"/>
    </row>
    <row r="4" spans="1:13" ht="45" customHeight="1">
      <c r="A4" s="896" t="s">
        <v>294</v>
      </c>
      <c r="B4" s="896"/>
      <c r="C4" s="896"/>
      <c r="D4" s="897" t="s">
        <v>286</v>
      </c>
      <c r="E4" s="897"/>
      <c r="F4" s="897"/>
      <c r="G4" s="897"/>
      <c r="H4" s="897"/>
      <c r="I4" s="897"/>
      <c r="J4" s="897"/>
      <c r="K4" s="897"/>
      <c r="L4" s="897"/>
      <c r="M4" s="897"/>
    </row>
    <row r="6" spans="1:13" ht="20.100000000000001" customHeight="1">
      <c r="A6" s="132" t="s">
        <v>192</v>
      </c>
      <c r="B6" s="152"/>
      <c r="C6" s="133">
        <v>5</v>
      </c>
      <c r="D6" s="904" t="s">
        <v>287</v>
      </c>
      <c r="E6" s="905"/>
      <c r="F6" s="905"/>
      <c r="G6" s="905"/>
      <c r="H6" s="905"/>
      <c r="I6" s="905"/>
      <c r="J6" s="905"/>
      <c r="K6" s="905"/>
      <c r="L6" s="905"/>
      <c r="M6" s="906"/>
    </row>
    <row r="7" spans="1:13" ht="60" customHeight="1">
      <c r="A7" s="896" t="s">
        <v>291</v>
      </c>
      <c r="B7" s="896"/>
      <c r="C7" s="896"/>
      <c r="D7" s="897" t="s">
        <v>288</v>
      </c>
      <c r="E7" s="897"/>
      <c r="F7" s="897"/>
      <c r="G7" s="897"/>
      <c r="H7" s="897"/>
      <c r="I7" s="897"/>
      <c r="J7" s="897"/>
      <c r="K7" s="897"/>
      <c r="L7" s="897"/>
      <c r="M7" s="897"/>
    </row>
    <row r="8" spans="1:13" ht="30" customHeight="1">
      <c r="A8" s="896" t="s">
        <v>293</v>
      </c>
      <c r="B8" s="896"/>
      <c r="C8" s="896"/>
      <c r="D8" s="897" t="s">
        <v>289</v>
      </c>
      <c r="E8" s="897"/>
      <c r="F8" s="897"/>
      <c r="G8" s="897"/>
      <c r="H8" s="897"/>
      <c r="I8" s="897"/>
      <c r="J8" s="897"/>
      <c r="K8" s="897"/>
      <c r="L8" s="897"/>
      <c r="M8" s="897"/>
    </row>
    <row r="9" spans="1:13" ht="20.100000000000001" customHeight="1">
      <c r="A9" s="896" t="s">
        <v>292</v>
      </c>
      <c r="B9" s="896"/>
      <c r="C9" s="896"/>
      <c r="D9" s="897" t="s">
        <v>290</v>
      </c>
      <c r="E9" s="897"/>
      <c r="F9" s="897"/>
      <c r="G9" s="897"/>
      <c r="H9" s="897"/>
      <c r="I9" s="897"/>
      <c r="J9" s="897"/>
      <c r="K9" s="897"/>
      <c r="L9" s="897"/>
      <c r="M9" s="897"/>
    </row>
    <row r="11" spans="1:13" ht="30" customHeight="1">
      <c r="A11" s="132" t="s">
        <v>193</v>
      </c>
      <c r="B11" s="152"/>
      <c r="C11" s="133">
        <v>1</v>
      </c>
      <c r="D11" s="907" t="s">
        <v>295</v>
      </c>
      <c r="E11" s="908"/>
      <c r="F11" s="908"/>
      <c r="G11" s="908"/>
      <c r="H11" s="908"/>
      <c r="I11" s="908"/>
      <c r="J11" s="908"/>
      <c r="K11" s="908"/>
      <c r="L11" s="908"/>
      <c r="M11" s="909"/>
    </row>
    <row r="12" spans="1:13" s="150" customFormat="1" ht="20.100000000000001" customHeight="1">
      <c r="A12" s="898" t="s">
        <v>308</v>
      </c>
      <c r="B12" s="899"/>
      <c r="C12" s="900"/>
      <c r="D12" s="897" t="s">
        <v>309</v>
      </c>
      <c r="E12" s="897"/>
      <c r="F12" s="897"/>
      <c r="G12" s="897"/>
      <c r="H12" s="897"/>
      <c r="I12" s="897"/>
      <c r="J12" s="897"/>
      <c r="K12" s="897"/>
      <c r="L12" s="897"/>
      <c r="M12" s="897"/>
    </row>
    <row r="13" spans="1:13" ht="20.100000000000001" customHeight="1">
      <c r="A13" s="896" t="s">
        <v>296</v>
      </c>
      <c r="B13" s="896"/>
      <c r="C13" s="896"/>
      <c r="D13" s="897" t="s">
        <v>310</v>
      </c>
      <c r="E13" s="897"/>
      <c r="F13" s="897"/>
      <c r="G13" s="897"/>
      <c r="H13" s="897"/>
      <c r="I13" s="897"/>
      <c r="J13" s="897"/>
      <c r="K13" s="897"/>
      <c r="L13" s="897"/>
      <c r="M13" s="897"/>
    </row>
    <row r="14" spans="1:13" ht="20.100000000000001" customHeight="1">
      <c r="A14" s="896" t="s">
        <v>311</v>
      </c>
      <c r="B14" s="896"/>
      <c r="C14" s="896"/>
      <c r="D14" s="897" t="s">
        <v>307</v>
      </c>
      <c r="E14" s="897"/>
      <c r="F14" s="897"/>
      <c r="G14" s="897"/>
      <c r="H14" s="897"/>
      <c r="I14" s="897"/>
      <c r="J14" s="897"/>
      <c r="K14" s="897"/>
      <c r="L14" s="897"/>
      <c r="M14" s="897"/>
    </row>
    <row r="15" spans="1:13" s="150" customFormat="1" ht="20.100000000000001" customHeight="1">
      <c r="A15" s="898" t="s">
        <v>305</v>
      </c>
      <c r="B15" s="899"/>
      <c r="C15" s="900"/>
      <c r="D15" s="897" t="s">
        <v>304</v>
      </c>
      <c r="E15" s="897"/>
      <c r="F15" s="897"/>
      <c r="G15" s="897"/>
      <c r="H15" s="897"/>
      <c r="I15" s="897"/>
      <c r="J15" s="897"/>
      <c r="K15" s="897"/>
      <c r="L15" s="897"/>
      <c r="M15" s="897"/>
    </row>
    <row r="16" spans="1:13" ht="45" customHeight="1">
      <c r="A16" s="896" t="s">
        <v>297</v>
      </c>
      <c r="B16" s="896"/>
      <c r="C16" s="896"/>
      <c r="D16" s="897" t="s">
        <v>298</v>
      </c>
      <c r="E16" s="897"/>
      <c r="F16" s="897"/>
      <c r="G16" s="897"/>
      <c r="H16" s="897"/>
      <c r="I16" s="897"/>
      <c r="J16" s="897"/>
      <c r="K16" s="897"/>
      <c r="L16" s="897"/>
      <c r="M16" s="897"/>
    </row>
    <row r="17" spans="1:13" ht="30" customHeight="1">
      <c r="A17" s="896" t="s">
        <v>299</v>
      </c>
      <c r="B17" s="896"/>
      <c r="C17" s="896"/>
      <c r="D17" s="897" t="s">
        <v>300</v>
      </c>
      <c r="E17" s="897"/>
      <c r="F17" s="897"/>
      <c r="G17" s="897"/>
      <c r="H17" s="897"/>
      <c r="I17" s="897"/>
      <c r="J17" s="897"/>
      <c r="K17" s="897"/>
      <c r="L17" s="897"/>
      <c r="M17" s="897"/>
    </row>
    <row r="18" spans="1:13" ht="30" customHeight="1">
      <c r="A18" s="896" t="s">
        <v>292</v>
      </c>
      <c r="B18" s="896"/>
      <c r="C18" s="896"/>
      <c r="D18" s="897" t="s">
        <v>301</v>
      </c>
      <c r="E18" s="897"/>
      <c r="F18" s="897"/>
      <c r="G18" s="897"/>
      <c r="H18" s="897"/>
      <c r="I18" s="897"/>
      <c r="J18" s="897"/>
      <c r="K18" s="897"/>
      <c r="L18" s="897"/>
      <c r="M18" s="897"/>
    </row>
    <row r="19" spans="1:13" ht="20.100000000000001" customHeight="1">
      <c r="A19" s="896" t="s">
        <v>302</v>
      </c>
      <c r="B19" s="896"/>
      <c r="C19" s="896"/>
      <c r="D19" s="897" t="s">
        <v>306</v>
      </c>
      <c r="E19" s="897"/>
      <c r="F19" s="897"/>
      <c r="G19" s="897"/>
      <c r="H19" s="897"/>
      <c r="I19" s="897"/>
      <c r="J19" s="897"/>
      <c r="K19" s="897"/>
      <c r="L19" s="897"/>
      <c r="M19" s="897"/>
    </row>
    <row r="20" spans="1:13" ht="20.100000000000001" customHeight="1">
      <c r="A20" s="896" t="s">
        <v>303</v>
      </c>
      <c r="B20" s="896"/>
      <c r="C20" s="896"/>
      <c r="D20" s="897" t="s">
        <v>224</v>
      </c>
      <c r="E20" s="897"/>
      <c r="F20" s="897"/>
      <c r="G20" s="897"/>
      <c r="H20" s="897"/>
      <c r="I20" s="897"/>
      <c r="J20" s="897"/>
      <c r="K20" s="897"/>
      <c r="L20" s="897"/>
      <c r="M20" s="897"/>
    </row>
    <row r="21" spans="1:13" ht="20.100000000000001" customHeight="1"/>
    <row r="22" spans="1:13" ht="20.100000000000001" customHeight="1">
      <c r="A22" s="151" t="s">
        <v>314</v>
      </c>
      <c r="B22" s="894" t="s">
        <v>313</v>
      </c>
      <c r="C22" s="895"/>
      <c r="D22" s="893">
        <v>2021</v>
      </c>
      <c r="E22" s="893"/>
      <c r="F22" s="893">
        <v>2022</v>
      </c>
      <c r="G22" s="893"/>
      <c r="H22" s="893">
        <v>2023</v>
      </c>
      <c r="I22" s="893"/>
      <c r="J22" s="893">
        <v>2024</v>
      </c>
      <c r="K22" s="893"/>
      <c r="L22" s="893">
        <v>2025</v>
      </c>
      <c r="M22" s="893"/>
    </row>
    <row r="23" spans="1:13" ht="20.100000000000001" customHeight="1">
      <c r="A23" s="134" t="str">
        <f>D12</f>
        <v>1.5.1.</v>
      </c>
      <c r="B23" s="889">
        <f>SUM(D23:M23)</f>
        <v>2</v>
      </c>
      <c r="C23" s="890"/>
      <c r="D23" s="910">
        <v>1</v>
      </c>
      <c r="E23" s="910"/>
      <c r="F23" s="889"/>
      <c r="G23" s="890"/>
      <c r="H23" s="910">
        <v>1</v>
      </c>
      <c r="I23" s="910"/>
      <c r="J23" s="889"/>
      <c r="K23" s="890"/>
      <c r="L23" s="889"/>
      <c r="M23" s="890"/>
    </row>
    <row r="24" spans="1:13" ht="20.100000000000001" customHeight="1"/>
    <row r="25" spans="1:13" ht="20.100000000000001" customHeight="1"/>
    <row r="26" spans="1:13" ht="20.100000000000001" customHeight="1">
      <c r="A26" s="151" t="s">
        <v>315</v>
      </c>
      <c r="B26" s="894" t="s">
        <v>173</v>
      </c>
      <c r="C26" s="895"/>
      <c r="D26" s="893">
        <v>2021</v>
      </c>
      <c r="E26" s="893"/>
      <c r="F26" s="893">
        <v>2022</v>
      </c>
      <c r="G26" s="893"/>
      <c r="H26" s="893">
        <v>2023</v>
      </c>
      <c r="I26" s="893"/>
      <c r="J26" s="893">
        <v>2024</v>
      </c>
      <c r="K26" s="893"/>
      <c r="L26" s="893">
        <v>2025</v>
      </c>
      <c r="M26" s="893"/>
    </row>
    <row r="27" spans="1:13" ht="20.100000000000001" customHeight="1">
      <c r="A27" s="134" t="str">
        <f>D12</f>
        <v>1.5.1.</v>
      </c>
      <c r="B27" s="886">
        <f>SUM(D27:M27)</f>
        <v>144300.43434998341</v>
      </c>
      <c r="C27" s="887"/>
      <c r="D27" s="911">
        <f>Cobrança!G25</f>
        <v>68632.786848981399</v>
      </c>
      <c r="E27" s="911"/>
      <c r="F27" s="889"/>
      <c r="G27" s="890"/>
      <c r="H27" s="911">
        <f>D27*(1+5%)*(1+5%)</f>
        <v>75667.647501001993</v>
      </c>
      <c r="I27" s="911"/>
      <c r="J27" s="889"/>
      <c r="K27" s="890"/>
      <c r="L27" s="889"/>
      <c r="M27" s="890"/>
    </row>
    <row r="29" spans="1:13" ht="15" customHeight="1">
      <c r="A29" s="891" t="s">
        <v>316</v>
      </c>
      <c r="B29" s="891"/>
      <c r="C29" s="891"/>
      <c r="D29" s="891"/>
      <c r="E29" s="891"/>
      <c r="F29" s="891"/>
      <c r="G29" s="891"/>
      <c r="H29" s="891"/>
      <c r="I29" s="891"/>
      <c r="J29" s="891"/>
      <c r="K29" s="891"/>
      <c r="L29" s="891"/>
      <c r="M29" s="891"/>
    </row>
    <row r="32" spans="1:13" s="129" customFormat="1" ht="39.950000000000003" customHeight="1">
      <c r="A32" s="804" t="s">
        <v>341</v>
      </c>
      <c r="B32" s="804"/>
      <c r="C32" s="804"/>
      <c r="D32" s="804"/>
      <c r="E32" s="804"/>
      <c r="F32" s="804"/>
      <c r="G32" s="804"/>
      <c r="H32" s="804"/>
      <c r="I32" s="804"/>
      <c r="J32" s="804"/>
      <c r="K32" s="804"/>
      <c r="L32" s="804"/>
      <c r="M32" s="804"/>
    </row>
    <row r="34" spans="1:16" ht="30" customHeight="1">
      <c r="A34" s="155" t="str">
        <f>A3</f>
        <v>FINALIDADE</v>
      </c>
      <c r="B34" s="154"/>
      <c r="C34" s="250">
        <v>1</v>
      </c>
      <c r="D34" s="892" t="str">
        <f>D3</f>
        <v>Gestão de recursos hídricos</v>
      </c>
      <c r="E34" s="892"/>
      <c r="F34" s="892"/>
      <c r="G34" s="892"/>
      <c r="H34" s="892"/>
      <c r="I34" s="892"/>
      <c r="J34" s="892"/>
      <c r="K34" s="892"/>
      <c r="L34" s="892"/>
      <c r="M34" s="892"/>
    </row>
    <row r="35" spans="1:16" ht="30" customHeight="1">
      <c r="A35" s="157" t="str">
        <f>A6</f>
        <v>PROGRAMA</v>
      </c>
      <c r="B35" s="159"/>
      <c r="C35" s="167">
        <v>5</v>
      </c>
      <c r="D35" s="885" t="str">
        <f>D6</f>
        <v>Cobrança pelo uso dos recursos hídricos</v>
      </c>
      <c r="E35" s="885"/>
      <c r="F35" s="885"/>
      <c r="G35" s="885"/>
      <c r="H35" s="885"/>
      <c r="I35" s="885"/>
      <c r="J35" s="885"/>
      <c r="K35" s="885"/>
      <c r="L35" s="885"/>
      <c r="M35" s="885"/>
    </row>
    <row r="36" spans="1:16" ht="30" customHeight="1">
      <c r="A36" s="156" t="str">
        <f>A11</f>
        <v>AÇÃO</v>
      </c>
      <c r="B36" s="160"/>
      <c r="C36" s="167">
        <v>1</v>
      </c>
      <c r="D36" s="885" t="str">
        <f>D11</f>
        <v>Estudos de fundamentação para a atualização dos valores e mecanismos da cobrança pelo uso dos recursos hídricos</v>
      </c>
      <c r="E36" s="885"/>
      <c r="F36" s="885"/>
      <c r="G36" s="885"/>
      <c r="H36" s="885"/>
      <c r="I36" s="885"/>
      <c r="J36" s="885"/>
      <c r="K36" s="885"/>
      <c r="L36" s="885"/>
      <c r="M36" s="885"/>
    </row>
    <row r="37" spans="1:16" ht="30" customHeight="1">
      <c r="A37" s="165" t="s">
        <v>317</v>
      </c>
      <c r="B37" s="166"/>
      <c r="C37" s="167">
        <v>1</v>
      </c>
      <c r="D37" s="885" t="s">
        <v>319</v>
      </c>
      <c r="E37" s="885"/>
      <c r="F37" s="885"/>
      <c r="G37" s="885"/>
      <c r="H37" s="885"/>
      <c r="I37" s="885"/>
      <c r="J37" s="885"/>
      <c r="K37" s="885"/>
      <c r="L37" s="885"/>
      <c r="M37" s="885"/>
    </row>
    <row r="38" spans="1:16" s="150" customFormat="1" ht="30" customHeight="1">
      <c r="A38" s="878" t="s">
        <v>308</v>
      </c>
      <c r="B38" s="879"/>
      <c r="C38" s="560"/>
      <c r="D38" s="551">
        <f>C34</f>
        <v>1</v>
      </c>
      <c r="E38" s="551">
        <f>C35</f>
        <v>5</v>
      </c>
      <c r="F38" s="551">
        <f>C36</f>
        <v>1</v>
      </c>
      <c r="G38" s="551">
        <f>C37</f>
        <v>1</v>
      </c>
      <c r="H38" s="560"/>
      <c r="I38" s="560"/>
      <c r="J38" s="560"/>
      <c r="K38" s="560"/>
      <c r="L38" s="560"/>
      <c r="M38" s="561"/>
    </row>
    <row r="39" spans="1:16" s="150" customFormat="1" ht="108" customHeight="1">
      <c r="A39" s="880" t="s">
        <v>321</v>
      </c>
      <c r="B39" s="881"/>
      <c r="C39" s="912" t="s">
        <v>326</v>
      </c>
      <c r="D39" s="876"/>
      <c r="E39" s="876"/>
      <c r="F39" s="876"/>
      <c r="G39" s="876"/>
      <c r="H39" s="876"/>
      <c r="I39" s="876"/>
      <c r="J39" s="876"/>
      <c r="K39" s="876"/>
      <c r="L39" s="876"/>
      <c r="M39" s="877"/>
      <c r="P39" s="158"/>
    </row>
    <row r="40" spans="1:16" s="150" customFormat="1" ht="20.100000000000001" customHeight="1">
      <c r="P40" s="158"/>
    </row>
    <row r="41" spans="1:16" s="150" customFormat="1" ht="20.100000000000001" customHeight="1">
      <c r="P41" s="158"/>
    </row>
    <row r="42" spans="1:16" s="150" customFormat="1" ht="35.1" customHeight="1">
      <c r="A42" s="878" t="s">
        <v>323</v>
      </c>
      <c r="B42" s="879"/>
      <c r="C42" s="883" t="s">
        <v>320</v>
      </c>
      <c r="D42" s="883"/>
      <c r="E42" s="883"/>
      <c r="F42" s="883"/>
      <c r="G42" s="883"/>
      <c r="H42" s="883"/>
      <c r="I42" s="883"/>
      <c r="J42" s="883"/>
      <c r="K42" s="883"/>
      <c r="L42" s="883"/>
      <c r="M42" s="884"/>
      <c r="P42" s="158"/>
    </row>
    <row r="43" spans="1:16" s="150" customFormat="1" ht="20.100000000000001" customHeight="1">
      <c r="A43" s="247" t="s">
        <v>338</v>
      </c>
      <c r="B43" s="249"/>
      <c r="C43" s="244">
        <v>1</v>
      </c>
      <c r="D43" s="873">
        <v>2021</v>
      </c>
      <c r="E43" s="874"/>
      <c r="F43" s="874"/>
      <c r="G43" s="874"/>
      <c r="H43" s="874"/>
      <c r="I43" s="874"/>
      <c r="J43" s="874"/>
      <c r="K43" s="874"/>
      <c r="L43" s="874"/>
      <c r="M43" s="875"/>
      <c r="P43" s="158"/>
    </row>
    <row r="44" spans="1:16" s="150" customFormat="1" ht="20.100000000000001" customHeight="1">
      <c r="A44" s="248" t="s">
        <v>340</v>
      </c>
      <c r="B44" s="246"/>
      <c r="C44" s="876" t="s">
        <v>342</v>
      </c>
      <c r="D44" s="876"/>
      <c r="E44" s="876"/>
      <c r="F44" s="876"/>
      <c r="G44" s="876"/>
      <c r="H44" s="876"/>
      <c r="I44" s="876"/>
      <c r="J44" s="876"/>
      <c r="K44" s="876"/>
      <c r="L44" s="876"/>
      <c r="M44" s="877"/>
      <c r="P44" s="158"/>
    </row>
    <row r="45" spans="1:16" s="150" customFormat="1" ht="9.9499999999999993" customHeight="1">
      <c r="A45" s="158"/>
      <c r="B45" s="158"/>
      <c r="C45" s="158"/>
      <c r="D45" s="158"/>
      <c r="E45" s="158"/>
      <c r="F45" s="158"/>
      <c r="G45" s="158"/>
      <c r="H45" s="158"/>
      <c r="I45" s="158"/>
      <c r="J45" s="158"/>
      <c r="K45" s="158"/>
      <c r="L45" s="158"/>
      <c r="M45" s="158"/>
      <c r="N45" s="158"/>
      <c r="O45" s="158"/>
      <c r="P45" s="158"/>
    </row>
    <row r="46" spans="1:16" s="150" customFormat="1" ht="20.100000000000001" customHeight="1">
      <c r="A46" s="161" t="s">
        <v>327</v>
      </c>
      <c r="B46" s="162">
        <v>1</v>
      </c>
      <c r="C46" s="162">
        <v>2</v>
      </c>
      <c r="D46" s="162">
        <v>3</v>
      </c>
      <c r="E46" s="162">
        <v>4</v>
      </c>
      <c r="F46" s="162">
        <v>5</v>
      </c>
      <c r="G46" s="162">
        <v>6</v>
      </c>
      <c r="H46" s="162">
        <v>7</v>
      </c>
      <c r="I46" s="162">
        <v>8</v>
      </c>
      <c r="J46" s="162">
        <v>9</v>
      </c>
      <c r="K46" s="162">
        <v>10</v>
      </c>
      <c r="L46" s="162">
        <v>11</v>
      </c>
      <c r="M46" s="162">
        <v>12</v>
      </c>
    </row>
    <row r="47" spans="1:16" s="150" customFormat="1" ht="20.100000000000001" customHeight="1">
      <c r="A47" s="161" t="s">
        <v>328</v>
      </c>
      <c r="B47" s="164"/>
      <c r="C47" s="164"/>
      <c r="D47" s="164"/>
      <c r="E47" s="164"/>
      <c r="F47" s="164"/>
      <c r="G47" s="164"/>
      <c r="H47" s="163"/>
      <c r="I47" s="163"/>
      <c r="J47" s="163"/>
      <c r="K47" s="163"/>
      <c r="L47" s="163"/>
      <c r="M47" s="163"/>
    </row>
    <row r="48" spans="1:16" s="150" customFormat="1" ht="20.100000000000001" customHeight="1">
      <c r="A48" s="161" t="s">
        <v>329</v>
      </c>
      <c r="B48" s="243">
        <f>$D$27/6</f>
        <v>11438.797808163567</v>
      </c>
      <c r="C48" s="243">
        <f t="shared" ref="C48:G48" si="0">$D$27/6</f>
        <v>11438.797808163567</v>
      </c>
      <c r="D48" s="243">
        <f t="shared" si="0"/>
        <v>11438.797808163567</v>
      </c>
      <c r="E48" s="243">
        <f t="shared" si="0"/>
        <v>11438.797808163567</v>
      </c>
      <c r="F48" s="243">
        <f t="shared" si="0"/>
        <v>11438.797808163567</v>
      </c>
      <c r="G48" s="243">
        <f t="shared" si="0"/>
        <v>11438.797808163567</v>
      </c>
      <c r="H48" s="163"/>
      <c r="I48" s="163"/>
      <c r="J48" s="163"/>
      <c r="K48" s="163"/>
      <c r="L48" s="163"/>
      <c r="M48" s="163"/>
    </row>
    <row r="49" spans="1:16" s="150" customFormat="1" ht="20.100000000000001" customHeight="1"/>
    <row r="50" spans="1:16" s="150" customFormat="1" ht="20.100000000000001" customHeight="1"/>
    <row r="51" spans="1:16" s="150" customFormat="1" ht="35.1" customHeight="1">
      <c r="A51" s="878" t="s">
        <v>324</v>
      </c>
      <c r="B51" s="879"/>
      <c r="C51" s="883" t="s">
        <v>325</v>
      </c>
      <c r="D51" s="883"/>
      <c r="E51" s="883"/>
      <c r="F51" s="883"/>
      <c r="G51" s="883"/>
      <c r="H51" s="883"/>
      <c r="I51" s="883"/>
      <c r="J51" s="883"/>
      <c r="K51" s="883"/>
      <c r="L51" s="883"/>
      <c r="M51" s="884"/>
      <c r="P51" s="158"/>
    </row>
    <row r="52" spans="1:16" s="150" customFormat="1" ht="20.100000000000001" customHeight="1">
      <c r="A52" s="247" t="s">
        <v>339</v>
      </c>
      <c r="B52" s="249"/>
      <c r="C52" s="244">
        <v>3</v>
      </c>
      <c r="D52" s="873">
        <v>2023</v>
      </c>
      <c r="E52" s="874"/>
      <c r="F52" s="874"/>
      <c r="G52" s="874"/>
      <c r="H52" s="874"/>
      <c r="I52" s="874"/>
      <c r="J52" s="874"/>
      <c r="K52" s="874"/>
      <c r="L52" s="874"/>
      <c r="M52" s="875"/>
      <c r="P52" s="158"/>
    </row>
    <row r="53" spans="1:16" s="150" customFormat="1" ht="20.100000000000001" customHeight="1">
      <c r="A53" s="248" t="s">
        <v>340</v>
      </c>
      <c r="B53" s="246"/>
      <c r="C53" s="876" t="s">
        <v>342</v>
      </c>
      <c r="D53" s="876"/>
      <c r="E53" s="876"/>
      <c r="F53" s="876"/>
      <c r="G53" s="876"/>
      <c r="H53" s="876"/>
      <c r="I53" s="876"/>
      <c r="J53" s="876"/>
      <c r="K53" s="876"/>
      <c r="L53" s="876"/>
      <c r="M53" s="877"/>
      <c r="P53" s="158"/>
    </row>
    <row r="54" spans="1:16" s="150" customFormat="1" ht="20.100000000000001" customHeight="1">
      <c r="A54" s="161" t="s">
        <v>327</v>
      </c>
      <c r="B54" s="162">
        <v>1</v>
      </c>
      <c r="C54" s="162">
        <v>2</v>
      </c>
      <c r="D54" s="162">
        <v>3</v>
      </c>
      <c r="E54" s="162">
        <v>4</v>
      </c>
      <c r="F54" s="162">
        <v>5</v>
      </c>
      <c r="G54" s="162">
        <v>6</v>
      </c>
      <c r="H54" s="162">
        <v>7</v>
      </c>
      <c r="I54" s="162">
        <v>8</v>
      </c>
      <c r="J54" s="162">
        <v>9</v>
      </c>
      <c r="K54" s="162">
        <v>10</v>
      </c>
      <c r="L54" s="162">
        <v>11</v>
      </c>
      <c r="M54" s="162">
        <v>12</v>
      </c>
    </row>
    <row r="55" spans="1:16" s="150" customFormat="1" ht="20.100000000000001" customHeight="1">
      <c r="A55" s="161" t="s">
        <v>328</v>
      </c>
      <c r="B55" s="163"/>
      <c r="C55" s="163"/>
      <c r="D55" s="163"/>
      <c r="E55" s="163"/>
      <c r="F55" s="163"/>
      <c r="G55" s="163"/>
      <c r="H55" s="164"/>
      <c r="I55" s="164"/>
      <c r="J55" s="164"/>
      <c r="K55" s="164"/>
      <c r="L55" s="164"/>
      <c r="M55" s="164"/>
    </row>
    <row r="56" spans="1:16" s="150" customFormat="1" ht="20.100000000000001" customHeight="1">
      <c r="A56" s="161" t="s">
        <v>329</v>
      </c>
      <c r="B56" s="163"/>
      <c r="C56" s="163"/>
      <c r="D56" s="163"/>
      <c r="E56" s="163"/>
      <c r="F56" s="163"/>
      <c r="G56" s="163"/>
      <c r="H56" s="243">
        <f>$H$27/6</f>
        <v>12611.274583500332</v>
      </c>
      <c r="I56" s="243">
        <f t="shared" ref="I56:M56" si="1">$H$27/6</f>
        <v>12611.274583500332</v>
      </c>
      <c r="J56" s="243">
        <f t="shared" si="1"/>
        <v>12611.274583500332</v>
      </c>
      <c r="K56" s="243">
        <f t="shared" si="1"/>
        <v>12611.274583500332</v>
      </c>
      <c r="L56" s="243">
        <f t="shared" si="1"/>
        <v>12611.274583500332</v>
      </c>
      <c r="M56" s="243">
        <f t="shared" si="1"/>
        <v>12611.274583500332</v>
      </c>
    </row>
  </sheetData>
  <mergeCells count="71">
    <mergeCell ref="C53:M53"/>
    <mergeCell ref="C44:M44"/>
    <mergeCell ref="A42:B42"/>
    <mergeCell ref="C42:M42"/>
    <mergeCell ref="A51:B51"/>
    <mergeCell ref="C51:M51"/>
    <mergeCell ref="D43:M43"/>
    <mergeCell ref="A18:C18"/>
    <mergeCell ref="A39:B39"/>
    <mergeCell ref="C39:M39"/>
    <mergeCell ref="A38:B38"/>
    <mergeCell ref="D34:M34"/>
    <mergeCell ref="D35:M35"/>
    <mergeCell ref="D36:M36"/>
    <mergeCell ref="D37:M37"/>
    <mergeCell ref="A19:C19"/>
    <mergeCell ref="D19:M19"/>
    <mergeCell ref="A20:C20"/>
    <mergeCell ref="D20:M20"/>
    <mergeCell ref="L26:M26"/>
    <mergeCell ref="B22:C22"/>
    <mergeCell ref="B23:C23"/>
    <mergeCell ref="D23:E23"/>
    <mergeCell ref="A12:C12"/>
    <mergeCell ref="D12:M12"/>
    <mergeCell ref="D16:M16"/>
    <mergeCell ref="A16:C16"/>
    <mergeCell ref="A17:C17"/>
    <mergeCell ref="D17:M17"/>
    <mergeCell ref="A13:C13"/>
    <mergeCell ref="D13:M13"/>
    <mergeCell ref="A14:C14"/>
    <mergeCell ref="D14:M14"/>
    <mergeCell ref="A15:C15"/>
    <mergeCell ref="D15:M15"/>
    <mergeCell ref="A1:M1"/>
    <mergeCell ref="D4:M4"/>
    <mergeCell ref="D6:M6"/>
    <mergeCell ref="A7:C7"/>
    <mergeCell ref="A8:C8"/>
    <mergeCell ref="D3:M3"/>
    <mergeCell ref="A9:C9"/>
    <mergeCell ref="A4:C4"/>
    <mergeCell ref="D7:M7"/>
    <mergeCell ref="D8:M8"/>
    <mergeCell ref="D9:M9"/>
    <mergeCell ref="D11:M11"/>
    <mergeCell ref="D18:M18"/>
    <mergeCell ref="H23:I23"/>
    <mergeCell ref="D27:E27"/>
    <mergeCell ref="H27:I27"/>
    <mergeCell ref="D22:E22"/>
    <mergeCell ref="F22:G22"/>
    <mergeCell ref="H22:I22"/>
    <mergeCell ref="J22:K22"/>
    <mergeCell ref="L22:M22"/>
    <mergeCell ref="F23:G23"/>
    <mergeCell ref="J23:K23"/>
    <mergeCell ref="L23:M23"/>
    <mergeCell ref="F27:G27"/>
    <mergeCell ref="J27:K27"/>
    <mergeCell ref="L27:M27"/>
    <mergeCell ref="B26:C26"/>
    <mergeCell ref="B27:C27"/>
    <mergeCell ref="D52:M52"/>
    <mergeCell ref="A29:M29"/>
    <mergeCell ref="D26:E26"/>
    <mergeCell ref="F26:G26"/>
    <mergeCell ref="H26:I26"/>
    <mergeCell ref="J26:K26"/>
    <mergeCell ref="A32:M32"/>
  </mergeCells>
  <phoneticPr fontId="42" type="noConversion"/>
  <printOptions horizontalCentered="1"/>
  <pageMargins left="0.51181102362204722" right="0.51181102362204722" top="0.78740157480314965" bottom="0.78740157480314965" header="0.31496062992125984" footer="0.31496062992125984"/>
  <pageSetup paperSize="9" orientation="portrait" r:id="rId1"/>
  <headerFooter>
    <oddFooter>&amp;L&amp;F&amp;C&amp;A&amp;R&amp;P/&amp;N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60"/>
  <sheetViews>
    <sheetView workbookViewId="0">
      <selection activeCell="E40" sqref="E40"/>
    </sheetView>
  </sheetViews>
  <sheetFormatPr defaultRowHeight="15"/>
  <cols>
    <col min="1" max="1" width="10.125" style="130" customWidth="1"/>
    <col min="2" max="2" width="6.125" style="130" customWidth="1"/>
    <col min="3" max="3" width="5.875" style="130" customWidth="1"/>
    <col min="4" max="13" width="6.125" style="130" customWidth="1"/>
    <col min="14" max="17" width="9" style="130"/>
    <col min="18" max="18" width="43.25" style="130" customWidth="1"/>
    <col min="19" max="16384" width="9" style="130"/>
  </cols>
  <sheetData>
    <row r="1" spans="1:13" s="129" customFormat="1" ht="39.950000000000003" customHeight="1">
      <c r="A1" s="804" t="s">
        <v>669</v>
      </c>
      <c r="B1" s="804"/>
      <c r="C1" s="804"/>
      <c r="D1" s="804"/>
      <c r="E1" s="804"/>
      <c r="F1" s="804"/>
      <c r="G1" s="804"/>
      <c r="H1" s="804"/>
      <c r="I1" s="804"/>
      <c r="J1" s="804"/>
      <c r="K1" s="804"/>
      <c r="L1" s="804"/>
      <c r="M1" s="804"/>
    </row>
    <row r="3" spans="1:13" ht="20.100000000000001" customHeight="1">
      <c r="A3" s="132" t="s">
        <v>190</v>
      </c>
      <c r="B3" s="152"/>
      <c r="C3" s="133">
        <v>1</v>
      </c>
      <c r="D3" s="901" t="s">
        <v>312</v>
      </c>
      <c r="E3" s="902"/>
      <c r="F3" s="902"/>
      <c r="G3" s="902"/>
      <c r="H3" s="902"/>
      <c r="I3" s="902"/>
      <c r="J3" s="902"/>
      <c r="K3" s="902"/>
      <c r="L3" s="902"/>
      <c r="M3" s="903"/>
    </row>
    <row r="4" spans="1:13" ht="45" customHeight="1">
      <c r="A4" s="896" t="s">
        <v>294</v>
      </c>
      <c r="B4" s="896"/>
      <c r="C4" s="896"/>
      <c r="D4" s="897" t="s">
        <v>286</v>
      </c>
      <c r="E4" s="897"/>
      <c r="F4" s="897"/>
      <c r="G4" s="897"/>
      <c r="H4" s="897"/>
      <c r="I4" s="897"/>
      <c r="J4" s="897"/>
      <c r="K4" s="897"/>
      <c r="L4" s="897"/>
      <c r="M4" s="897"/>
    </row>
    <row r="6" spans="1:13" ht="20.100000000000001" customHeight="1">
      <c r="A6" s="132" t="s">
        <v>192</v>
      </c>
      <c r="B6" s="152"/>
      <c r="C6" s="133">
        <v>8</v>
      </c>
      <c r="D6" s="904" t="s">
        <v>467</v>
      </c>
      <c r="E6" s="905"/>
      <c r="F6" s="905"/>
      <c r="G6" s="905"/>
      <c r="H6" s="905"/>
      <c r="I6" s="905"/>
      <c r="J6" s="905"/>
      <c r="K6" s="905"/>
      <c r="L6" s="905"/>
      <c r="M6" s="906"/>
    </row>
    <row r="7" spans="1:13" ht="31.5" customHeight="1">
      <c r="A7" s="896" t="s">
        <v>291</v>
      </c>
      <c r="B7" s="896"/>
      <c r="C7" s="896"/>
      <c r="D7" s="897" t="s">
        <v>660</v>
      </c>
      <c r="E7" s="897"/>
      <c r="F7" s="897"/>
      <c r="G7" s="897"/>
      <c r="H7" s="897"/>
      <c r="I7" s="897"/>
      <c r="J7" s="897"/>
      <c r="K7" s="897"/>
      <c r="L7" s="897"/>
      <c r="M7" s="897"/>
    </row>
    <row r="8" spans="1:13" ht="63" customHeight="1">
      <c r="A8" s="896" t="s">
        <v>293</v>
      </c>
      <c r="B8" s="896"/>
      <c r="C8" s="896"/>
      <c r="D8" s="897" t="s">
        <v>661</v>
      </c>
      <c r="E8" s="897"/>
      <c r="F8" s="897"/>
      <c r="G8" s="897"/>
      <c r="H8" s="897"/>
      <c r="I8" s="897"/>
      <c r="J8" s="897"/>
      <c r="K8" s="897"/>
      <c r="L8" s="897"/>
      <c r="M8" s="897"/>
    </row>
    <row r="9" spans="1:13" ht="30" customHeight="1">
      <c r="A9" s="896" t="s">
        <v>292</v>
      </c>
      <c r="B9" s="896"/>
      <c r="C9" s="896"/>
      <c r="D9" s="897" t="s">
        <v>662</v>
      </c>
      <c r="E9" s="897"/>
      <c r="F9" s="897"/>
      <c r="G9" s="897"/>
      <c r="H9" s="897"/>
      <c r="I9" s="897"/>
      <c r="J9" s="897"/>
      <c r="K9" s="897"/>
      <c r="L9" s="897"/>
      <c r="M9" s="897"/>
    </row>
    <row r="11" spans="1:13" ht="30" customHeight="1">
      <c r="A11" s="132" t="s">
        <v>193</v>
      </c>
      <c r="B11" s="152"/>
      <c r="C11" s="133">
        <v>2</v>
      </c>
      <c r="D11" s="907" t="s">
        <v>471</v>
      </c>
      <c r="E11" s="908"/>
      <c r="F11" s="908"/>
      <c r="G11" s="908"/>
      <c r="H11" s="908"/>
      <c r="I11" s="908"/>
      <c r="J11" s="908"/>
      <c r="K11" s="908"/>
      <c r="L11" s="908"/>
      <c r="M11" s="909"/>
    </row>
    <row r="12" spans="1:13" s="150" customFormat="1" ht="20.100000000000001" customHeight="1">
      <c r="A12" s="898" t="s">
        <v>308</v>
      </c>
      <c r="B12" s="899"/>
      <c r="C12" s="900"/>
      <c r="D12" s="897" t="s">
        <v>470</v>
      </c>
      <c r="E12" s="897"/>
      <c r="F12" s="897"/>
      <c r="G12" s="897"/>
      <c r="H12" s="897"/>
      <c r="I12" s="897"/>
      <c r="J12" s="897"/>
      <c r="K12" s="897"/>
      <c r="L12" s="897"/>
      <c r="M12" s="897"/>
    </row>
    <row r="13" spans="1:13" ht="30" customHeight="1">
      <c r="A13" s="896" t="s">
        <v>296</v>
      </c>
      <c r="B13" s="896"/>
      <c r="C13" s="896"/>
      <c r="D13" s="897" t="s">
        <v>672</v>
      </c>
      <c r="E13" s="897"/>
      <c r="F13" s="897"/>
      <c r="G13" s="897"/>
      <c r="H13" s="897"/>
      <c r="I13" s="897"/>
      <c r="J13" s="897"/>
      <c r="K13" s="897"/>
      <c r="L13" s="897"/>
      <c r="M13" s="897"/>
    </row>
    <row r="14" spans="1:13" ht="20.100000000000001" customHeight="1">
      <c r="A14" s="896" t="s">
        <v>311</v>
      </c>
      <c r="B14" s="896"/>
      <c r="C14" s="896"/>
      <c r="D14" s="897" t="s">
        <v>671</v>
      </c>
      <c r="E14" s="897"/>
      <c r="F14" s="897"/>
      <c r="G14" s="897"/>
      <c r="H14" s="897"/>
      <c r="I14" s="897"/>
      <c r="J14" s="897"/>
      <c r="K14" s="897"/>
      <c r="L14" s="897"/>
      <c r="M14" s="897"/>
    </row>
    <row r="15" spans="1:13" s="150" customFormat="1" ht="20.100000000000001" customHeight="1">
      <c r="A15" s="898" t="s">
        <v>305</v>
      </c>
      <c r="B15" s="899"/>
      <c r="C15" s="900"/>
      <c r="D15" s="897" t="s">
        <v>663</v>
      </c>
      <c r="E15" s="897"/>
      <c r="F15" s="897"/>
      <c r="G15" s="897"/>
      <c r="H15" s="897"/>
      <c r="I15" s="897"/>
      <c r="J15" s="897"/>
      <c r="K15" s="897"/>
      <c r="L15" s="897"/>
      <c r="M15" s="897"/>
    </row>
    <row r="16" spans="1:13" ht="45" customHeight="1">
      <c r="A16" s="896" t="s">
        <v>297</v>
      </c>
      <c r="B16" s="896"/>
      <c r="C16" s="896"/>
      <c r="D16" s="897" t="s">
        <v>664</v>
      </c>
      <c r="E16" s="897"/>
      <c r="F16" s="897"/>
      <c r="G16" s="897"/>
      <c r="H16" s="897"/>
      <c r="I16" s="897"/>
      <c r="J16" s="897"/>
      <c r="K16" s="897"/>
      <c r="L16" s="897"/>
      <c r="M16" s="897"/>
    </row>
    <row r="17" spans="1:13" ht="60" customHeight="1">
      <c r="A17" s="896" t="s">
        <v>299</v>
      </c>
      <c r="B17" s="896"/>
      <c r="C17" s="896"/>
      <c r="D17" s="897" t="s">
        <v>665</v>
      </c>
      <c r="E17" s="897"/>
      <c r="F17" s="897"/>
      <c r="G17" s="897"/>
      <c r="H17" s="897"/>
      <c r="I17" s="897"/>
      <c r="J17" s="897"/>
      <c r="K17" s="897"/>
      <c r="L17" s="897"/>
      <c r="M17" s="897"/>
    </row>
    <row r="18" spans="1:13" ht="30" customHeight="1">
      <c r="A18" s="896" t="s">
        <v>292</v>
      </c>
      <c r="B18" s="896"/>
      <c r="C18" s="896"/>
      <c r="D18" s="897" t="s">
        <v>676</v>
      </c>
      <c r="E18" s="897"/>
      <c r="F18" s="897"/>
      <c r="G18" s="897"/>
      <c r="H18" s="897"/>
      <c r="I18" s="897"/>
      <c r="J18" s="897"/>
      <c r="K18" s="897"/>
      <c r="L18" s="897"/>
      <c r="M18" s="897"/>
    </row>
    <row r="19" spans="1:13" ht="20.100000000000001" customHeight="1">
      <c r="A19" s="896" t="s">
        <v>302</v>
      </c>
      <c r="B19" s="896"/>
      <c r="C19" s="896"/>
      <c r="D19" s="897" t="s">
        <v>677</v>
      </c>
      <c r="E19" s="897"/>
      <c r="F19" s="897"/>
      <c r="G19" s="897"/>
      <c r="H19" s="897"/>
      <c r="I19" s="897"/>
      <c r="J19" s="897"/>
      <c r="K19" s="897"/>
      <c r="L19" s="897"/>
      <c r="M19" s="897"/>
    </row>
    <row r="20" spans="1:13" ht="20.100000000000001" customHeight="1">
      <c r="A20" s="896" t="s">
        <v>303</v>
      </c>
      <c r="B20" s="896"/>
      <c r="C20" s="896"/>
      <c r="D20" s="897" t="s">
        <v>224</v>
      </c>
      <c r="E20" s="897"/>
      <c r="F20" s="897"/>
      <c r="G20" s="897"/>
      <c r="H20" s="897"/>
      <c r="I20" s="897"/>
      <c r="J20" s="897"/>
      <c r="K20" s="897"/>
      <c r="L20" s="897"/>
      <c r="M20" s="897"/>
    </row>
    <row r="21" spans="1:13" ht="20.100000000000001" customHeight="1"/>
    <row r="22" spans="1:13" ht="20.100000000000001" customHeight="1">
      <c r="A22" s="151" t="s">
        <v>339</v>
      </c>
      <c r="B22" s="894" t="s">
        <v>313</v>
      </c>
      <c r="C22" s="895"/>
      <c r="D22" s="893">
        <v>2021</v>
      </c>
      <c r="E22" s="893"/>
      <c r="F22" s="893">
        <v>2022</v>
      </c>
      <c r="G22" s="893"/>
      <c r="H22" s="893">
        <v>2023</v>
      </c>
      <c r="I22" s="893"/>
      <c r="J22" s="893">
        <v>2024</v>
      </c>
      <c r="K22" s="893"/>
      <c r="L22" s="893">
        <v>2025</v>
      </c>
      <c r="M22" s="893"/>
    </row>
    <row r="23" spans="1:13" ht="20.100000000000001" customHeight="1">
      <c r="A23" s="134" t="str">
        <f>D12</f>
        <v>1.8.2</v>
      </c>
      <c r="B23" s="889">
        <f>SUM(D23:M23)</f>
        <v>5</v>
      </c>
      <c r="C23" s="890"/>
      <c r="D23" s="889">
        <v>1</v>
      </c>
      <c r="E23" s="890"/>
      <c r="F23" s="889">
        <v>1</v>
      </c>
      <c r="G23" s="890"/>
      <c r="H23" s="889">
        <v>1</v>
      </c>
      <c r="I23" s="890"/>
      <c r="J23" s="889">
        <v>1</v>
      </c>
      <c r="K23" s="890"/>
      <c r="L23" s="889">
        <v>1</v>
      </c>
      <c r="M23" s="890"/>
    </row>
    <row r="24" spans="1:13" ht="20.100000000000001" customHeight="1"/>
    <row r="25" spans="1:13" ht="20.100000000000001" customHeight="1">
      <c r="A25" s="151" t="s">
        <v>339</v>
      </c>
      <c r="B25" s="894" t="s">
        <v>173</v>
      </c>
      <c r="C25" s="895"/>
      <c r="D25" s="893">
        <v>2021</v>
      </c>
      <c r="E25" s="893"/>
      <c r="F25" s="893">
        <v>2022</v>
      </c>
      <c r="G25" s="893"/>
      <c r="H25" s="893">
        <v>2023</v>
      </c>
      <c r="I25" s="893"/>
      <c r="J25" s="893">
        <v>2024</v>
      </c>
      <c r="K25" s="893"/>
      <c r="L25" s="893">
        <v>2025</v>
      </c>
      <c r="M25" s="893"/>
    </row>
    <row r="26" spans="1:13" ht="20.100000000000001" customHeight="1">
      <c r="A26" s="134" t="str">
        <f>D12</f>
        <v>1.8.2</v>
      </c>
      <c r="B26" s="886">
        <f>SUM(D26:M26)</f>
        <v>3647280</v>
      </c>
      <c r="C26" s="887"/>
      <c r="D26" s="886">
        <v>0</v>
      </c>
      <c r="E26" s="890"/>
      <c r="F26" s="886">
        <v>1150000</v>
      </c>
      <c r="G26" s="890"/>
      <c r="H26" s="886">
        <v>800000</v>
      </c>
      <c r="I26" s="890"/>
      <c r="J26" s="886">
        <f>H26*(1+$A$28)</f>
        <v>832000</v>
      </c>
      <c r="K26" s="890"/>
      <c r="L26" s="886">
        <f>J26*(1+$A$28)</f>
        <v>865280</v>
      </c>
      <c r="M26" s="890"/>
    </row>
    <row r="28" spans="1:13">
      <c r="A28" s="552">
        <v>0.04</v>
      </c>
      <c r="B28" s="130" t="s">
        <v>646</v>
      </c>
    </row>
    <row r="30" spans="1:13" s="129" customFormat="1" ht="39.950000000000003" customHeight="1">
      <c r="A30" s="804" t="s">
        <v>341</v>
      </c>
      <c r="B30" s="804"/>
      <c r="C30" s="804"/>
      <c r="D30" s="804"/>
      <c r="E30" s="804"/>
      <c r="F30" s="804"/>
      <c r="G30" s="804"/>
      <c r="H30" s="804"/>
      <c r="I30" s="804"/>
      <c r="J30" s="804"/>
      <c r="K30" s="804"/>
      <c r="L30" s="804"/>
      <c r="M30" s="804"/>
    </row>
    <row r="32" spans="1:13" ht="30" customHeight="1">
      <c r="A32" s="155" t="str">
        <f>A3</f>
        <v>FINALIDADE</v>
      </c>
      <c r="B32" s="154"/>
      <c r="C32" s="250">
        <f>C3</f>
        <v>1</v>
      </c>
      <c r="D32" s="892" t="str">
        <f>D3</f>
        <v>Gestão de recursos hídricos</v>
      </c>
      <c r="E32" s="892"/>
      <c r="F32" s="892"/>
      <c r="G32" s="892"/>
      <c r="H32" s="892"/>
      <c r="I32" s="892"/>
      <c r="J32" s="892"/>
      <c r="K32" s="892"/>
      <c r="L32" s="892"/>
      <c r="M32" s="892"/>
    </row>
    <row r="33" spans="1:18" ht="30" customHeight="1">
      <c r="A33" s="157" t="str">
        <f>A6</f>
        <v>PROGRAMA</v>
      </c>
      <c r="B33" s="159"/>
      <c r="C33" s="167">
        <f>C6</f>
        <v>8</v>
      </c>
      <c r="D33" s="885" t="str">
        <f>D6</f>
        <v>Segurança hídrica e eventos críticos</v>
      </c>
      <c r="E33" s="885"/>
      <c r="F33" s="885"/>
      <c r="G33" s="885"/>
      <c r="H33" s="885"/>
      <c r="I33" s="885"/>
      <c r="J33" s="885"/>
      <c r="K33" s="885"/>
      <c r="L33" s="885"/>
      <c r="M33" s="885"/>
    </row>
    <row r="34" spans="1:18" ht="30" customHeight="1">
      <c r="A34" s="156" t="str">
        <f>A11</f>
        <v>AÇÃO</v>
      </c>
      <c r="B34" s="160"/>
      <c r="C34" s="167">
        <f>C11</f>
        <v>2</v>
      </c>
      <c r="D34" s="885" t="str">
        <f>D11</f>
        <v>Desenvolvimento, implantação, manutenção ou atualização de salas de situação</v>
      </c>
      <c r="E34" s="885"/>
      <c r="F34" s="885"/>
      <c r="G34" s="885"/>
      <c r="H34" s="885"/>
      <c r="I34" s="885"/>
      <c r="J34" s="885"/>
      <c r="K34" s="885"/>
      <c r="L34" s="885"/>
      <c r="M34" s="885"/>
    </row>
    <row r="35" spans="1:18" ht="30" customHeight="1">
      <c r="A35" s="165" t="s">
        <v>317</v>
      </c>
      <c r="B35" s="166"/>
      <c r="C35" s="167">
        <v>1</v>
      </c>
      <c r="D35" s="885" t="s">
        <v>668</v>
      </c>
      <c r="E35" s="885"/>
      <c r="F35" s="885"/>
      <c r="G35" s="885"/>
      <c r="H35" s="885"/>
      <c r="I35" s="885"/>
      <c r="J35" s="885"/>
      <c r="K35" s="885"/>
      <c r="L35" s="885"/>
      <c r="M35" s="885"/>
    </row>
    <row r="36" spans="1:18" s="150" customFormat="1" ht="30" customHeight="1">
      <c r="A36" s="878" t="s">
        <v>308</v>
      </c>
      <c r="B36" s="879"/>
      <c r="C36" s="560"/>
      <c r="D36" s="551">
        <f>C32</f>
        <v>1</v>
      </c>
      <c r="E36" s="551">
        <f>C33</f>
        <v>8</v>
      </c>
      <c r="F36" s="551">
        <f>C34</f>
        <v>2</v>
      </c>
      <c r="G36" s="551">
        <f>C35</f>
        <v>1</v>
      </c>
      <c r="H36" s="560"/>
      <c r="I36" s="560"/>
      <c r="J36" s="560"/>
      <c r="K36" s="560"/>
      <c r="L36" s="560"/>
      <c r="M36" s="561"/>
      <c r="R36" s="554"/>
    </row>
    <row r="37" spans="1:18" s="150" customFormat="1" ht="68.25" customHeight="1">
      <c r="A37" s="880" t="s">
        <v>321</v>
      </c>
      <c r="B37" s="881"/>
      <c r="C37" s="882" t="s">
        <v>670</v>
      </c>
      <c r="D37" s="882"/>
      <c r="E37" s="882"/>
      <c r="F37" s="882"/>
      <c r="G37" s="882"/>
      <c r="H37" s="882"/>
      <c r="I37" s="882"/>
      <c r="J37" s="882"/>
      <c r="K37" s="882"/>
      <c r="L37" s="882"/>
      <c r="M37" s="882"/>
      <c r="P37" s="158"/>
      <c r="Q37" s="253"/>
      <c r="R37" s="553"/>
    </row>
    <row r="38" spans="1:18" s="150" customFormat="1" ht="20.100000000000001" customHeight="1">
      <c r="P38" s="158"/>
    </row>
    <row r="39" spans="1:18" s="150" customFormat="1" ht="35.1" customHeight="1">
      <c r="A39" s="878" t="s">
        <v>650</v>
      </c>
      <c r="B39" s="879"/>
      <c r="C39" s="883" t="s">
        <v>667</v>
      </c>
      <c r="D39" s="883"/>
      <c r="E39" s="883"/>
      <c r="F39" s="883"/>
      <c r="G39" s="883"/>
      <c r="H39" s="883"/>
      <c r="I39" s="883"/>
      <c r="J39" s="883"/>
      <c r="K39" s="883"/>
      <c r="L39" s="883"/>
      <c r="M39" s="884"/>
      <c r="P39" s="158"/>
    </row>
    <row r="40" spans="1:18" s="150" customFormat="1" ht="20.100000000000001" customHeight="1">
      <c r="A40" s="247" t="s">
        <v>338</v>
      </c>
      <c r="B40" s="249"/>
      <c r="C40" s="255" t="s">
        <v>648</v>
      </c>
      <c r="D40" s="873" t="s">
        <v>649</v>
      </c>
      <c r="E40" s="874"/>
      <c r="F40" s="874"/>
      <c r="G40" s="874"/>
      <c r="H40" s="874"/>
      <c r="I40" s="874"/>
      <c r="J40" s="874"/>
      <c r="K40" s="874"/>
      <c r="L40" s="874"/>
      <c r="M40" s="875"/>
      <c r="P40" s="158"/>
    </row>
    <row r="41" spans="1:18" s="150" customFormat="1" ht="20.100000000000001" customHeight="1">
      <c r="A41" s="248" t="s">
        <v>340</v>
      </c>
      <c r="B41" s="246"/>
      <c r="C41" s="876" t="s">
        <v>651</v>
      </c>
      <c r="D41" s="876"/>
      <c r="E41" s="876"/>
      <c r="F41" s="876"/>
      <c r="G41" s="876"/>
      <c r="H41" s="876"/>
      <c r="I41" s="876"/>
      <c r="J41" s="876"/>
      <c r="K41" s="876"/>
      <c r="L41" s="876"/>
      <c r="M41" s="877"/>
      <c r="P41" s="158"/>
    </row>
    <row r="42" spans="1:18" s="150" customFormat="1" ht="20.100000000000001" customHeight="1">
      <c r="A42" s="161" t="s">
        <v>327</v>
      </c>
      <c r="B42" s="162">
        <v>1</v>
      </c>
      <c r="C42" s="162">
        <v>2</v>
      </c>
      <c r="D42" s="162">
        <v>3</v>
      </c>
      <c r="E42" s="162">
        <v>4</v>
      </c>
      <c r="F42" s="162">
        <v>5</v>
      </c>
      <c r="G42" s="162">
        <v>6</v>
      </c>
      <c r="H42" s="162">
        <v>7</v>
      </c>
      <c r="I42" s="162">
        <v>8</v>
      </c>
      <c r="J42" s="162">
        <v>9</v>
      </c>
      <c r="K42" s="162">
        <v>10</v>
      </c>
      <c r="L42" s="162">
        <v>11</v>
      </c>
      <c r="M42" s="162">
        <v>12</v>
      </c>
    </row>
    <row r="43" spans="1:18" s="150" customFormat="1" ht="20.100000000000001" customHeight="1">
      <c r="A43" s="161" t="s">
        <v>328</v>
      </c>
      <c r="B43" s="164"/>
      <c r="C43" s="164"/>
      <c r="D43" s="164"/>
      <c r="E43" s="164"/>
      <c r="F43" s="164"/>
      <c r="G43" s="164"/>
      <c r="H43" s="164"/>
      <c r="I43" s="164"/>
      <c r="J43" s="164"/>
      <c r="K43" s="164"/>
      <c r="L43" s="164"/>
      <c r="M43" s="164"/>
    </row>
    <row r="44" spans="1:18" s="150" customFormat="1" ht="20.100000000000001" customHeight="1">
      <c r="A44" s="161" t="s">
        <v>329</v>
      </c>
      <c r="B44" s="243">
        <f>$D$26/12</f>
        <v>0</v>
      </c>
      <c r="C44" s="243">
        <f t="shared" ref="C44:M44" si="0">$D$26/12</f>
        <v>0</v>
      </c>
      <c r="D44" s="243">
        <f t="shared" si="0"/>
        <v>0</v>
      </c>
      <c r="E44" s="243">
        <f t="shared" si="0"/>
        <v>0</v>
      </c>
      <c r="F44" s="243">
        <f t="shared" si="0"/>
        <v>0</v>
      </c>
      <c r="G44" s="243">
        <f t="shared" si="0"/>
        <v>0</v>
      </c>
      <c r="H44" s="243">
        <f t="shared" si="0"/>
        <v>0</v>
      </c>
      <c r="I44" s="243">
        <f t="shared" si="0"/>
        <v>0</v>
      </c>
      <c r="J44" s="243">
        <f t="shared" si="0"/>
        <v>0</v>
      </c>
      <c r="K44" s="243">
        <f t="shared" si="0"/>
        <v>0</v>
      </c>
      <c r="L44" s="243">
        <f t="shared" si="0"/>
        <v>0</v>
      </c>
      <c r="M44" s="243">
        <f t="shared" si="0"/>
        <v>0</v>
      </c>
    </row>
    <row r="45" spans="1:18" s="150" customFormat="1" ht="20.100000000000001" customHeight="1"/>
    <row r="46" spans="1:18" s="150" customFormat="1" ht="20.100000000000001" customHeight="1">
      <c r="A46" s="161" t="s">
        <v>327</v>
      </c>
      <c r="B46" s="162">
        <v>13</v>
      </c>
      <c r="C46" s="162">
        <v>14</v>
      </c>
      <c r="D46" s="162">
        <v>15</v>
      </c>
      <c r="E46" s="162">
        <v>16</v>
      </c>
      <c r="F46" s="162">
        <v>17</v>
      </c>
      <c r="G46" s="162">
        <v>18</v>
      </c>
      <c r="H46" s="162">
        <v>19</v>
      </c>
      <c r="I46" s="162">
        <v>20</v>
      </c>
      <c r="J46" s="162">
        <v>21</v>
      </c>
      <c r="K46" s="162">
        <v>22</v>
      </c>
      <c r="L46" s="162">
        <v>23</v>
      </c>
      <c r="M46" s="162">
        <v>24</v>
      </c>
    </row>
    <row r="47" spans="1:18" s="150" customFormat="1" ht="20.100000000000001" customHeight="1">
      <c r="A47" s="161" t="s">
        <v>328</v>
      </c>
      <c r="B47" s="164"/>
      <c r="C47" s="164"/>
      <c r="D47" s="164"/>
      <c r="E47" s="164"/>
      <c r="F47" s="164"/>
      <c r="G47" s="164"/>
      <c r="H47" s="164"/>
      <c r="I47" s="164"/>
      <c r="J47" s="164"/>
      <c r="K47" s="164"/>
      <c r="L47" s="164"/>
      <c r="M47" s="164"/>
    </row>
    <row r="48" spans="1:18" s="150" customFormat="1" ht="20.100000000000001" customHeight="1">
      <c r="A48" s="161" t="s">
        <v>329</v>
      </c>
      <c r="B48" s="243">
        <f>$F$26/12</f>
        <v>95833.333333333328</v>
      </c>
      <c r="C48" s="243">
        <f t="shared" ref="C48:M48" si="1">$F$26/12</f>
        <v>95833.333333333328</v>
      </c>
      <c r="D48" s="243">
        <f t="shared" si="1"/>
        <v>95833.333333333328</v>
      </c>
      <c r="E48" s="243">
        <f t="shared" si="1"/>
        <v>95833.333333333328</v>
      </c>
      <c r="F48" s="243">
        <f t="shared" si="1"/>
        <v>95833.333333333328</v>
      </c>
      <c r="G48" s="243">
        <f t="shared" si="1"/>
        <v>95833.333333333328</v>
      </c>
      <c r="H48" s="243">
        <f t="shared" si="1"/>
        <v>95833.333333333328</v>
      </c>
      <c r="I48" s="243">
        <f t="shared" si="1"/>
        <v>95833.333333333328</v>
      </c>
      <c r="J48" s="243">
        <f t="shared" si="1"/>
        <v>95833.333333333328</v>
      </c>
      <c r="K48" s="243">
        <f t="shared" si="1"/>
        <v>95833.333333333328</v>
      </c>
      <c r="L48" s="243">
        <f t="shared" si="1"/>
        <v>95833.333333333328</v>
      </c>
      <c r="M48" s="243">
        <f t="shared" si="1"/>
        <v>95833.333333333328</v>
      </c>
    </row>
    <row r="49" spans="1:13" s="150" customFormat="1" ht="20.100000000000001" customHeight="1"/>
    <row r="50" spans="1:13" s="150" customFormat="1" ht="20.100000000000001" customHeight="1">
      <c r="A50" s="161" t="s">
        <v>327</v>
      </c>
      <c r="B50" s="162">
        <v>25</v>
      </c>
      <c r="C50" s="162">
        <v>26</v>
      </c>
      <c r="D50" s="162">
        <v>27</v>
      </c>
      <c r="E50" s="162">
        <v>28</v>
      </c>
      <c r="F50" s="162">
        <v>29</v>
      </c>
      <c r="G50" s="162">
        <v>30</v>
      </c>
      <c r="H50" s="162">
        <v>31</v>
      </c>
      <c r="I50" s="162">
        <v>32</v>
      </c>
      <c r="J50" s="162">
        <v>33</v>
      </c>
      <c r="K50" s="162">
        <v>34</v>
      </c>
      <c r="L50" s="162">
        <v>35</v>
      </c>
      <c r="M50" s="162">
        <v>36</v>
      </c>
    </row>
    <row r="51" spans="1:13" s="150" customFormat="1" ht="20.100000000000001" customHeight="1">
      <c r="A51" s="161" t="s">
        <v>328</v>
      </c>
      <c r="B51" s="164"/>
      <c r="C51" s="164"/>
      <c r="D51" s="164"/>
      <c r="E51" s="164"/>
      <c r="F51" s="164"/>
      <c r="G51" s="164"/>
      <c r="H51" s="164"/>
      <c r="I51" s="164"/>
      <c r="J51" s="164"/>
      <c r="K51" s="164"/>
      <c r="L51" s="164"/>
      <c r="M51" s="164"/>
    </row>
    <row r="52" spans="1:13" s="150" customFormat="1" ht="20.100000000000001" customHeight="1">
      <c r="A52" s="161" t="s">
        <v>329</v>
      </c>
      <c r="B52" s="243">
        <f>$H$26/12</f>
        <v>66666.666666666672</v>
      </c>
      <c r="C52" s="243">
        <f t="shared" ref="C52:M52" si="2">$H$26/12</f>
        <v>66666.666666666672</v>
      </c>
      <c r="D52" s="243">
        <f t="shared" si="2"/>
        <v>66666.666666666672</v>
      </c>
      <c r="E52" s="243">
        <f t="shared" si="2"/>
        <v>66666.666666666672</v>
      </c>
      <c r="F52" s="243">
        <f t="shared" si="2"/>
        <v>66666.666666666672</v>
      </c>
      <c r="G52" s="243">
        <f t="shared" si="2"/>
        <v>66666.666666666672</v>
      </c>
      <c r="H52" s="243">
        <f t="shared" si="2"/>
        <v>66666.666666666672</v>
      </c>
      <c r="I52" s="243">
        <f t="shared" si="2"/>
        <v>66666.666666666672</v>
      </c>
      <c r="J52" s="243">
        <f t="shared" si="2"/>
        <v>66666.666666666672</v>
      </c>
      <c r="K52" s="243">
        <f t="shared" si="2"/>
        <v>66666.666666666672</v>
      </c>
      <c r="L52" s="243">
        <f t="shared" si="2"/>
        <v>66666.666666666672</v>
      </c>
      <c r="M52" s="243">
        <f t="shared" si="2"/>
        <v>66666.666666666672</v>
      </c>
    </row>
    <row r="54" spans="1:13" s="150" customFormat="1" ht="20.100000000000001" customHeight="1">
      <c r="A54" s="161" t="s">
        <v>327</v>
      </c>
      <c r="B54" s="162">
        <v>37</v>
      </c>
      <c r="C54" s="162">
        <v>38</v>
      </c>
      <c r="D54" s="162">
        <v>39</v>
      </c>
      <c r="E54" s="162">
        <v>40</v>
      </c>
      <c r="F54" s="162">
        <v>41</v>
      </c>
      <c r="G54" s="162">
        <v>42</v>
      </c>
      <c r="H54" s="162">
        <v>43</v>
      </c>
      <c r="I54" s="162">
        <v>44</v>
      </c>
      <c r="J54" s="162">
        <v>45</v>
      </c>
      <c r="K54" s="162">
        <v>46</v>
      </c>
      <c r="L54" s="162">
        <v>47</v>
      </c>
      <c r="M54" s="162">
        <v>48</v>
      </c>
    </row>
    <row r="55" spans="1:13" s="150" customFormat="1" ht="20.100000000000001" customHeight="1">
      <c r="A55" s="161" t="s">
        <v>328</v>
      </c>
      <c r="B55" s="164"/>
      <c r="C55" s="164"/>
      <c r="D55" s="164"/>
      <c r="E55" s="164"/>
      <c r="F55" s="164"/>
      <c r="G55" s="164"/>
      <c r="H55" s="164"/>
      <c r="I55" s="164"/>
      <c r="J55" s="164"/>
      <c r="K55" s="164"/>
      <c r="L55" s="164"/>
      <c r="M55" s="164"/>
    </row>
    <row r="56" spans="1:13" s="150" customFormat="1" ht="20.100000000000001" customHeight="1">
      <c r="A56" s="161" t="s">
        <v>329</v>
      </c>
      <c r="B56" s="243">
        <f>$J$26/12</f>
        <v>69333.333333333328</v>
      </c>
      <c r="C56" s="243">
        <f t="shared" ref="C56:M56" si="3">$J$26/12</f>
        <v>69333.333333333328</v>
      </c>
      <c r="D56" s="243">
        <f t="shared" si="3"/>
        <v>69333.333333333328</v>
      </c>
      <c r="E56" s="243">
        <f t="shared" si="3"/>
        <v>69333.333333333328</v>
      </c>
      <c r="F56" s="243">
        <f t="shared" si="3"/>
        <v>69333.333333333328</v>
      </c>
      <c r="G56" s="243">
        <f t="shared" si="3"/>
        <v>69333.333333333328</v>
      </c>
      <c r="H56" s="243">
        <f t="shared" si="3"/>
        <v>69333.333333333328</v>
      </c>
      <c r="I56" s="243">
        <f t="shared" si="3"/>
        <v>69333.333333333328</v>
      </c>
      <c r="J56" s="243">
        <f t="shared" si="3"/>
        <v>69333.333333333328</v>
      </c>
      <c r="K56" s="243">
        <f t="shared" si="3"/>
        <v>69333.333333333328</v>
      </c>
      <c r="L56" s="243">
        <f t="shared" si="3"/>
        <v>69333.333333333328</v>
      </c>
      <c r="M56" s="243">
        <f t="shared" si="3"/>
        <v>69333.333333333328</v>
      </c>
    </row>
    <row r="58" spans="1:13" s="150" customFormat="1" ht="20.100000000000001" customHeight="1">
      <c r="A58" s="161" t="s">
        <v>327</v>
      </c>
      <c r="B58" s="162">
        <v>49</v>
      </c>
      <c r="C58" s="162">
        <v>50</v>
      </c>
      <c r="D58" s="162">
        <v>51</v>
      </c>
      <c r="E58" s="162">
        <v>52</v>
      </c>
      <c r="F58" s="162">
        <v>53</v>
      </c>
      <c r="G58" s="162">
        <v>54</v>
      </c>
      <c r="H58" s="162">
        <v>55</v>
      </c>
      <c r="I58" s="162">
        <v>56</v>
      </c>
      <c r="J58" s="162">
        <v>57</v>
      </c>
      <c r="K58" s="162">
        <v>58</v>
      </c>
      <c r="L58" s="162">
        <v>59</v>
      </c>
      <c r="M58" s="162">
        <v>60</v>
      </c>
    </row>
    <row r="59" spans="1:13" s="150" customFormat="1" ht="20.100000000000001" customHeight="1">
      <c r="A59" s="161" t="s">
        <v>328</v>
      </c>
      <c r="B59" s="164"/>
      <c r="C59" s="164"/>
      <c r="D59" s="164"/>
      <c r="E59" s="164"/>
      <c r="F59" s="164"/>
      <c r="G59" s="164"/>
      <c r="H59" s="164"/>
      <c r="I59" s="164"/>
      <c r="J59" s="164"/>
      <c r="K59" s="164"/>
      <c r="L59" s="164"/>
      <c r="M59" s="164"/>
    </row>
    <row r="60" spans="1:13" s="150" customFormat="1" ht="20.100000000000001" customHeight="1">
      <c r="A60" s="161" t="s">
        <v>329</v>
      </c>
      <c r="B60" s="243">
        <f>$L$26/12</f>
        <v>72106.666666666672</v>
      </c>
      <c r="C60" s="243">
        <f t="shared" ref="C60:M60" si="4">$L$26/12</f>
        <v>72106.666666666672</v>
      </c>
      <c r="D60" s="243">
        <f t="shared" si="4"/>
        <v>72106.666666666672</v>
      </c>
      <c r="E60" s="243">
        <f t="shared" si="4"/>
        <v>72106.666666666672</v>
      </c>
      <c r="F60" s="243">
        <f t="shared" si="4"/>
        <v>72106.666666666672</v>
      </c>
      <c r="G60" s="243">
        <f t="shared" si="4"/>
        <v>72106.666666666672</v>
      </c>
      <c r="H60" s="243">
        <f t="shared" si="4"/>
        <v>72106.666666666672</v>
      </c>
      <c r="I60" s="243">
        <f t="shared" si="4"/>
        <v>72106.666666666672</v>
      </c>
      <c r="J60" s="243">
        <f t="shared" si="4"/>
        <v>72106.666666666672</v>
      </c>
      <c r="K60" s="243">
        <f t="shared" si="4"/>
        <v>72106.666666666672</v>
      </c>
      <c r="L60" s="243">
        <f t="shared" si="4"/>
        <v>72106.666666666672</v>
      </c>
      <c r="M60" s="243">
        <f t="shared" si="4"/>
        <v>72106.666666666672</v>
      </c>
    </row>
  </sheetData>
  <mergeCells count="66">
    <mergeCell ref="C41:M41"/>
    <mergeCell ref="A30:M30"/>
    <mergeCell ref="D32:M32"/>
    <mergeCell ref="D33:M33"/>
    <mergeCell ref="D34:M34"/>
    <mergeCell ref="D35:M35"/>
    <mergeCell ref="A36:B36"/>
    <mergeCell ref="A37:B37"/>
    <mergeCell ref="C37:M37"/>
    <mergeCell ref="A39:B39"/>
    <mergeCell ref="C39:M39"/>
    <mergeCell ref="D40:M40"/>
    <mergeCell ref="L26:M26"/>
    <mergeCell ref="B25:C25"/>
    <mergeCell ref="D25:E25"/>
    <mergeCell ref="F25:G25"/>
    <mergeCell ref="H25:I25"/>
    <mergeCell ref="J25:K25"/>
    <mergeCell ref="L25:M25"/>
    <mergeCell ref="B26:C26"/>
    <mergeCell ref="D26:E26"/>
    <mergeCell ref="F26:G26"/>
    <mergeCell ref="H26:I26"/>
    <mergeCell ref="J26:K26"/>
    <mergeCell ref="L23:M23"/>
    <mergeCell ref="A19:C19"/>
    <mergeCell ref="D19:M19"/>
    <mergeCell ref="A20:C20"/>
    <mergeCell ref="D20:M20"/>
    <mergeCell ref="B22:C22"/>
    <mergeCell ref="D22:E22"/>
    <mergeCell ref="F22:G22"/>
    <mergeCell ref="H22:I22"/>
    <mergeCell ref="J22:K22"/>
    <mergeCell ref="L22:M22"/>
    <mergeCell ref="B23:C23"/>
    <mergeCell ref="D23:E23"/>
    <mergeCell ref="F23:G23"/>
    <mergeCell ref="H23:I23"/>
    <mergeCell ref="J23:K23"/>
    <mergeCell ref="A16:C16"/>
    <mergeCell ref="D16:M16"/>
    <mergeCell ref="A17:C17"/>
    <mergeCell ref="D17:M17"/>
    <mergeCell ref="A18:C18"/>
    <mergeCell ref="D18:M18"/>
    <mergeCell ref="A13:C13"/>
    <mergeCell ref="D13:M13"/>
    <mergeCell ref="A14:C14"/>
    <mergeCell ref="D14:M14"/>
    <mergeCell ref="A15:C15"/>
    <mergeCell ref="D15:M15"/>
    <mergeCell ref="A12:C12"/>
    <mergeCell ref="D12:M12"/>
    <mergeCell ref="A1:M1"/>
    <mergeCell ref="D3:M3"/>
    <mergeCell ref="A4:C4"/>
    <mergeCell ref="D4:M4"/>
    <mergeCell ref="D6:M6"/>
    <mergeCell ref="A7:C7"/>
    <mergeCell ref="D7:M7"/>
    <mergeCell ref="A8:C8"/>
    <mergeCell ref="D8:M8"/>
    <mergeCell ref="A9:C9"/>
    <mergeCell ref="D9:M9"/>
    <mergeCell ref="D11:M11"/>
  </mergeCells>
  <printOptions horizontalCentered="1"/>
  <pageMargins left="0.51181102362204722" right="0.51181102362204722" top="0.78740157480314965" bottom="0.78740157480314965" header="0.31496062992125984" footer="0.31496062992125984"/>
  <pageSetup paperSize="9" scale="95" orientation="portrait" r:id="rId1"/>
  <headerFooter>
    <oddFooter>&amp;L&amp;F&amp;C&amp;A&amp;R&amp;P/&amp;N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Q62"/>
  <sheetViews>
    <sheetView topLeftCell="A32" workbookViewId="0">
      <selection activeCell="E40" sqref="E40"/>
    </sheetView>
  </sheetViews>
  <sheetFormatPr defaultRowHeight="15"/>
  <cols>
    <col min="1" max="1" width="9.375" style="130" customWidth="1"/>
    <col min="2" max="13" width="6.625" style="130" customWidth="1"/>
    <col min="14" max="17" width="9" style="130"/>
    <col min="18" max="18" width="43.25" style="130" customWidth="1"/>
    <col min="19" max="16384" width="9" style="130"/>
  </cols>
  <sheetData>
    <row r="1" spans="1:13" s="129" customFormat="1" ht="39.950000000000003" customHeight="1">
      <c r="A1" s="804" t="s">
        <v>673</v>
      </c>
      <c r="B1" s="804"/>
      <c r="C1" s="804"/>
      <c r="D1" s="804"/>
      <c r="E1" s="804"/>
      <c r="F1" s="804"/>
      <c r="G1" s="804"/>
      <c r="H1" s="804"/>
      <c r="I1" s="804"/>
      <c r="J1" s="804"/>
      <c r="K1" s="804"/>
      <c r="L1" s="804"/>
      <c r="M1" s="804"/>
    </row>
    <row r="3" spans="1:13" ht="20.100000000000001" customHeight="1">
      <c r="A3" s="913" t="s">
        <v>190</v>
      </c>
      <c r="B3" s="914"/>
      <c r="C3" s="133">
        <v>1</v>
      </c>
      <c r="D3" s="901" t="s">
        <v>312</v>
      </c>
      <c r="E3" s="902"/>
      <c r="F3" s="902"/>
      <c r="G3" s="902"/>
      <c r="H3" s="902"/>
      <c r="I3" s="902"/>
      <c r="J3" s="902"/>
      <c r="K3" s="902"/>
      <c r="L3" s="902"/>
      <c r="M3" s="903"/>
    </row>
    <row r="4" spans="1:13" ht="45" customHeight="1">
      <c r="A4" s="896" t="s">
        <v>294</v>
      </c>
      <c r="B4" s="896"/>
      <c r="C4" s="896"/>
      <c r="D4" s="897" t="s">
        <v>286</v>
      </c>
      <c r="E4" s="897"/>
      <c r="F4" s="897"/>
      <c r="G4" s="897"/>
      <c r="H4" s="897"/>
      <c r="I4" s="897"/>
      <c r="J4" s="897"/>
      <c r="K4" s="897"/>
      <c r="L4" s="897"/>
      <c r="M4" s="897"/>
    </row>
    <row r="6" spans="1:13" ht="20.100000000000001" customHeight="1">
      <c r="A6" s="913" t="s">
        <v>192</v>
      </c>
      <c r="B6" s="914"/>
      <c r="C6" s="133">
        <v>8</v>
      </c>
      <c r="D6" s="904" t="s">
        <v>467</v>
      </c>
      <c r="E6" s="905"/>
      <c r="F6" s="905"/>
      <c r="G6" s="905"/>
      <c r="H6" s="905"/>
      <c r="I6" s="905"/>
      <c r="J6" s="905"/>
      <c r="K6" s="905"/>
      <c r="L6" s="905"/>
      <c r="M6" s="906"/>
    </row>
    <row r="7" spans="1:13" ht="45" customHeight="1">
      <c r="A7" s="896" t="s">
        <v>291</v>
      </c>
      <c r="B7" s="896"/>
      <c r="C7" s="896"/>
      <c r="D7" s="897" t="s">
        <v>660</v>
      </c>
      <c r="E7" s="897"/>
      <c r="F7" s="897"/>
      <c r="G7" s="897"/>
      <c r="H7" s="897"/>
      <c r="I7" s="897"/>
      <c r="J7" s="897"/>
      <c r="K7" s="897"/>
      <c r="L7" s="897"/>
      <c r="M7" s="897"/>
    </row>
    <row r="8" spans="1:13" ht="64.5" customHeight="1">
      <c r="A8" s="896" t="s">
        <v>293</v>
      </c>
      <c r="B8" s="896"/>
      <c r="C8" s="896"/>
      <c r="D8" s="897" t="s">
        <v>661</v>
      </c>
      <c r="E8" s="897"/>
      <c r="F8" s="897"/>
      <c r="G8" s="897"/>
      <c r="H8" s="897"/>
      <c r="I8" s="897"/>
      <c r="J8" s="897"/>
      <c r="K8" s="897"/>
      <c r="L8" s="897"/>
      <c r="M8" s="897"/>
    </row>
    <row r="9" spans="1:13" ht="30" customHeight="1">
      <c r="A9" s="896" t="s">
        <v>292</v>
      </c>
      <c r="B9" s="896"/>
      <c r="C9" s="896"/>
      <c r="D9" s="897" t="s">
        <v>662</v>
      </c>
      <c r="E9" s="897"/>
      <c r="F9" s="897"/>
      <c r="G9" s="897"/>
      <c r="H9" s="897"/>
      <c r="I9" s="897"/>
      <c r="J9" s="897"/>
      <c r="K9" s="897"/>
      <c r="L9" s="897"/>
      <c r="M9" s="897"/>
    </row>
    <row r="11" spans="1:13" ht="30" customHeight="1">
      <c r="A11" s="557" t="s">
        <v>193</v>
      </c>
      <c r="B11" s="152"/>
      <c r="C11" s="133">
        <v>4</v>
      </c>
      <c r="D11" s="907" t="s">
        <v>475</v>
      </c>
      <c r="E11" s="908"/>
      <c r="F11" s="908"/>
      <c r="G11" s="908"/>
      <c r="H11" s="908"/>
      <c r="I11" s="908"/>
      <c r="J11" s="908"/>
      <c r="K11" s="908"/>
      <c r="L11" s="908"/>
      <c r="M11" s="909"/>
    </row>
    <row r="12" spans="1:13" s="150" customFormat="1" ht="20.100000000000001" customHeight="1">
      <c r="A12" s="898" t="s">
        <v>308</v>
      </c>
      <c r="B12" s="899"/>
      <c r="C12" s="900"/>
      <c r="D12" s="897" t="s">
        <v>474</v>
      </c>
      <c r="E12" s="897"/>
      <c r="F12" s="897"/>
      <c r="G12" s="897"/>
      <c r="H12" s="897"/>
      <c r="I12" s="897"/>
      <c r="J12" s="897"/>
      <c r="K12" s="897"/>
      <c r="L12" s="897"/>
      <c r="M12" s="897"/>
    </row>
    <row r="13" spans="1:13" ht="30" customHeight="1">
      <c r="A13" s="896" t="s">
        <v>296</v>
      </c>
      <c r="B13" s="896"/>
      <c r="C13" s="896"/>
      <c r="D13" s="897" t="s">
        <v>672</v>
      </c>
      <c r="E13" s="897"/>
      <c r="F13" s="897"/>
      <c r="G13" s="897"/>
      <c r="H13" s="897"/>
      <c r="I13" s="897"/>
      <c r="J13" s="897"/>
      <c r="K13" s="897"/>
      <c r="L13" s="897"/>
      <c r="M13" s="897"/>
    </row>
    <row r="14" spans="1:13" ht="20.100000000000001" customHeight="1">
      <c r="A14" s="896" t="s">
        <v>311</v>
      </c>
      <c r="B14" s="896"/>
      <c r="C14" s="896"/>
      <c r="D14" s="897" t="s">
        <v>671</v>
      </c>
      <c r="E14" s="897"/>
      <c r="F14" s="897"/>
      <c r="G14" s="897"/>
      <c r="H14" s="897"/>
      <c r="I14" s="897"/>
      <c r="J14" s="897"/>
      <c r="K14" s="897"/>
      <c r="L14" s="897"/>
      <c r="M14" s="897"/>
    </row>
    <row r="15" spans="1:13" s="150" customFormat="1" ht="20.100000000000001" customHeight="1">
      <c r="A15" s="898" t="s">
        <v>305</v>
      </c>
      <c r="B15" s="899"/>
      <c r="C15" s="900"/>
      <c r="D15" s="897" t="s">
        <v>304</v>
      </c>
      <c r="E15" s="897"/>
      <c r="F15" s="897"/>
      <c r="G15" s="897"/>
      <c r="H15" s="897"/>
      <c r="I15" s="897"/>
      <c r="J15" s="897"/>
      <c r="K15" s="897"/>
      <c r="L15" s="897"/>
      <c r="M15" s="897"/>
    </row>
    <row r="16" spans="1:13" ht="45" customHeight="1">
      <c r="A16" s="896" t="s">
        <v>297</v>
      </c>
      <c r="B16" s="896"/>
      <c r="C16" s="896"/>
      <c r="D16" s="897" t="s">
        <v>674</v>
      </c>
      <c r="E16" s="897"/>
      <c r="F16" s="897"/>
      <c r="G16" s="897"/>
      <c r="H16" s="897"/>
      <c r="I16" s="897"/>
      <c r="J16" s="897"/>
      <c r="K16" s="897"/>
      <c r="L16" s="897"/>
      <c r="M16" s="897"/>
    </row>
    <row r="17" spans="1:13" ht="60" customHeight="1">
      <c r="A17" s="896" t="s">
        <v>299</v>
      </c>
      <c r="B17" s="896"/>
      <c r="C17" s="896"/>
      <c r="D17" s="897" t="s">
        <v>675</v>
      </c>
      <c r="E17" s="897"/>
      <c r="F17" s="897"/>
      <c r="G17" s="897"/>
      <c r="H17" s="897"/>
      <c r="I17" s="897"/>
      <c r="J17" s="897"/>
      <c r="K17" s="897"/>
      <c r="L17" s="897"/>
      <c r="M17" s="897"/>
    </row>
    <row r="18" spans="1:13" ht="30" customHeight="1">
      <c r="A18" s="896" t="s">
        <v>292</v>
      </c>
      <c r="B18" s="896"/>
      <c r="C18" s="896"/>
      <c r="D18" s="897" t="s">
        <v>676</v>
      </c>
      <c r="E18" s="897"/>
      <c r="F18" s="897"/>
      <c r="G18" s="897"/>
      <c r="H18" s="897"/>
      <c r="I18" s="897"/>
      <c r="J18" s="897"/>
      <c r="K18" s="897"/>
      <c r="L18" s="897"/>
      <c r="M18" s="897"/>
    </row>
    <row r="19" spans="1:13" ht="20.100000000000001" customHeight="1">
      <c r="A19" s="896" t="s">
        <v>302</v>
      </c>
      <c r="B19" s="896"/>
      <c r="C19" s="896"/>
      <c r="D19" s="897" t="s">
        <v>678</v>
      </c>
      <c r="E19" s="897"/>
      <c r="F19" s="897"/>
      <c r="G19" s="897"/>
      <c r="H19" s="897"/>
      <c r="I19" s="897"/>
      <c r="J19" s="897"/>
      <c r="K19" s="897"/>
      <c r="L19" s="897"/>
      <c r="M19" s="897"/>
    </row>
    <row r="20" spans="1:13" ht="20.100000000000001" customHeight="1">
      <c r="A20" s="896" t="s">
        <v>303</v>
      </c>
      <c r="B20" s="896"/>
      <c r="C20" s="896"/>
      <c r="D20" s="897" t="s">
        <v>224</v>
      </c>
      <c r="E20" s="897"/>
      <c r="F20" s="897"/>
      <c r="G20" s="897"/>
      <c r="H20" s="897"/>
      <c r="I20" s="897"/>
      <c r="J20" s="897"/>
      <c r="K20" s="897"/>
      <c r="L20" s="897"/>
      <c r="M20" s="897"/>
    </row>
    <row r="21" spans="1:13" ht="20.100000000000001" customHeight="1"/>
    <row r="22" spans="1:13" ht="20.100000000000001" customHeight="1">
      <c r="A22" s="151" t="s">
        <v>339</v>
      </c>
      <c r="B22" s="894" t="s">
        <v>313</v>
      </c>
      <c r="C22" s="895"/>
      <c r="D22" s="893">
        <v>2021</v>
      </c>
      <c r="E22" s="893"/>
      <c r="F22" s="893">
        <v>2022</v>
      </c>
      <c r="G22" s="893"/>
      <c r="H22" s="893">
        <v>2023</v>
      </c>
      <c r="I22" s="893"/>
      <c r="J22" s="893">
        <v>2024</v>
      </c>
      <c r="K22" s="893"/>
      <c r="L22" s="893">
        <v>2025</v>
      </c>
      <c r="M22" s="893"/>
    </row>
    <row r="23" spans="1:13" ht="20.100000000000001" customHeight="1">
      <c r="A23" s="134" t="str">
        <f>D12</f>
        <v>1.8.4</v>
      </c>
      <c r="B23" s="889">
        <f>SUM(D23:M23)</f>
        <v>2</v>
      </c>
      <c r="C23" s="890"/>
      <c r="D23" s="915">
        <v>1</v>
      </c>
      <c r="E23" s="916"/>
      <c r="F23" s="915">
        <v>1</v>
      </c>
      <c r="G23" s="916"/>
      <c r="H23" s="915"/>
      <c r="I23" s="916"/>
      <c r="J23" s="915"/>
      <c r="K23" s="916"/>
      <c r="L23" s="915"/>
      <c r="M23" s="916"/>
    </row>
    <row r="24" spans="1:13" ht="20.100000000000001" customHeight="1"/>
    <row r="25" spans="1:13" ht="20.100000000000001" customHeight="1">
      <c r="A25" s="151" t="s">
        <v>339</v>
      </c>
      <c r="B25" s="894" t="s">
        <v>173</v>
      </c>
      <c r="C25" s="895"/>
      <c r="D25" s="893">
        <v>2021</v>
      </c>
      <c r="E25" s="893"/>
      <c r="F25" s="893">
        <v>2022</v>
      </c>
      <c r="G25" s="893"/>
      <c r="H25" s="893">
        <v>2023</v>
      </c>
      <c r="I25" s="893"/>
      <c r="J25" s="893">
        <v>2024</v>
      </c>
      <c r="K25" s="893"/>
      <c r="L25" s="893">
        <v>2025</v>
      </c>
      <c r="M25" s="893"/>
    </row>
    <row r="26" spans="1:13" ht="20.100000000000001" customHeight="1">
      <c r="A26" s="134" t="str">
        <f>D12</f>
        <v>1.8.4</v>
      </c>
      <c r="B26" s="886">
        <f>SUM(D26:M26)</f>
        <v>3403863.8846984212</v>
      </c>
      <c r="C26" s="887"/>
      <c r="D26" s="886">
        <f>'Plano de Segurança Hídrica'!G36*D23</f>
        <v>3403863.8846984212</v>
      </c>
      <c r="E26" s="887"/>
      <c r="F26" s="886">
        <v>0</v>
      </c>
      <c r="G26" s="887"/>
      <c r="H26" s="886">
        <f>'Plano de Segurança Hídrica'!G36*H23</f>
        <v>0</v>
      </c>
      <c r="I26" s="887"/>
      <c r="J26" s="889"/>
      <c r="K26" s="890"/>
      <c r="L26" s="889"/>
      <c r="M26" s="890"/>
    </row>
    <row r="28" spans="1:13" ht="15" customHeight="1">
      <c r="A28" s="891"/>
      <c r="B28" s="891"/>
      <c r="C28" s="891"/>
      <c r="D28" s="891"/>
      <c r="E28" s="891"/>
      <c r="F28" s="891"/>
      <c r="G28" s="891"/>
      <c r="H28" s="891"/>
      <c r="I28" s="891"/>
      <c r="J28" s="891"/>
      <c r="K28" s="891"/>
      <c r="L28" s="891"/>
      <c r="M28" s="891"/>
    </row>
    <row r="31" spans="1:13" s="129" customFormat="1" ht="39.950000000000003" customHeight="1">
      <c r="A31" s="804" t="s">
        <v>341</v>
      </c>
      <c r="B31" s="804"/>
      <c r="C31" s="804"/>
      <c r="D31" s="804"/>
      <c r="E31" s="804"/>
      <c r="F31" s="804"/>
      <c r="G31" s="804"/>
      <c r="H31" s="804"/>
      <c r="I31" s="804"/>
      <c r="J31" s="804"/>
      <c r="K31" s="804"/>
      <c r="L31" s="804"/>
      <c r="M31" s="804"/>
    </row>
    <row r="33" spans="1:17" ht="30" customHeight="1">
      <c r="A33" s="917" t="str">
        <f>A3</f>
        <v>FINALIDADE</v>
      </c>
      <c r="B33" s="918"/>
      <c r="C33" s="250">
        <f>C3</f>
        <v>1</v>
      </c>
      <c r="D33" s="892" t="str">
        <f>D3</f>
        <v>Gestão de recursos hídricos</v>
      </c>
      <c r="E33" s="892"/>
      <c r="F33" s="892"/>
      <c r="G33" s="892"/>
      <c r="H33" s="892"/>
      <c r="I33" s="892"/>
      <c r="J33" s="892"/>
      <c r="K33" s="892"/>
      <c r="L33" s="892"/>
      <c r="M33" s="892"/>
    </row>
    <row r="34" spans="1:17" ht="30" customHeight="1">
      <c r="A34" s="878" t="str">
        <f>A6</f>
        <v>PROGRAMA</v>
      </c>
      <c r="B34" s="879"/>
      <c r="C34" s="167">
        <f>C6</f>
        <v>8</v>
      </c>
      <c r="D34" s="885" t="str">
        <f>D6</f>
        <v>Segurança hídrica e eventos críticos</v>
      </c>
      <c r="E34" s="885"/>
      <c r="F34" s="885"/>
      <c r="G34" s="885"/>
      <c r="H34" s="885"/>
      <c r="I34" s="885"/>
      <c r="J34" s="885"/>
      <c r="K34" s="885"/>
      <c r="L34" s="885"/>
      <c r="M34" s="885"/>
    </row>
    <row r="35" spans="1:17" ht="30" customHeight="1">
      <c r="A35" s="156" t="str">
        <f>A11</f>
        <v>AÇÃO</v>
      </c>
      <c r="B35" s="160"/>
      <c r="C35" s="167">
        <f>C11</f>
        <v>4</v>
      </c>
      <c r="D35" s="885" t="str">
        <f>D11</f>
        <v>Estudos, planos, projetos e obras para implantação, expansão ou adequação de estruturas hidráulicas para aumento da segurança hídrica</v>
      </c>
      <c r="E35" s="885"/>
      <c r="F35" s="885"/>
      <c r="G35" s="885"/>
      <c r="H35" s="885"/>
      <c r="I35" s="885"/>
      <c r="J35" s="885"/>
      <c r="K35" s="885"/>
      <c r="L35" s="885"/>
      <c r="M35" s="885"/>
    </row>
    <row r="36" spans="1:17" ht="30" customHeight="1">
      <c r="A36" s="165" t="s">
        <v>317</v>
      </c>
      <c r="B36" s="166"/>
      <c r="C36" s="167">
        <v>1</v>
      </c>
      <c r="D36" s="885" t="s">
        <v>848</v>
      </c>
      <c r="E36" s="885"/>
      <c r="F36" s="885"/>
      <c r="G36" s="885"/>
      <c r="H36" s="885"/>
      <c r="I36" s="885"/>
      <c r="J36" s="885"/>
      <c r="K36" s="885"/>
      <c r="L36" s="885"/>
      <c r="M36" s="885"/>
    </row>
    <row r="37" spans="1:17" s="150" customFormat="1" ht="30" customHeight="1">
      <c r="A37" s="878" t="s">
        <v>308</v>
      </c>
      <c r="B37" s="879"/>
      <c r="C37" s="560"/>
      <c r="D37" s="551">
        <f>C33</f>
        <v>1</v>
      </c>
      <c r="E37" s="551">
        <f>C34</f>
        <v>8</v>
      </c>
      <c r="F37" s="551">
        <f>C35</f>
        <v>4</v>
      </c>
      <c r="G37" s="551">
        <f>C36</f>
        <v>1</v>
      </c>
      <c r="H37" s="560"/>
      <c r="I37" s="560"/>
      <c r="J37" s="560"/>
      <c r="K37" s="560"/>
      <c r="L37" s="560"/>
      <c r="M37" s="561"/>
    </row>
    <row r="38" spans="1:17" s="150" customFormat="1" ht="65.25" customHeight="1">
      <c r="A38" s="880" t="s">
        <v>321</v>
      </c>
      <c r="B38" s="881"/>
      <c r="C38" s="919" t="s">
        <v>679</v>
      </c>
      <c r="D38" s="920"/>
      <c r="E38" s="920"/>
      <c r="F38" s="920"/>
      <c r="G38" s="920"/>
      <c r="H38" s="920"/>
      <c r="I38" s="920"/>
      <c r="J38" s="920"/>
      <c r="K38" s="920"/>
      <c r="L38" s="920"/>
      <c r="M38" s="921"/>
      <c r="P38" s="158"/>
      <c r="Q38" s="253"/>
    </row>
    <row r="39" spans="1:17" s="150" customFormat="1" ht="20.100000000000001" customHeight="1">
      <c r="P39" s="158"/>
    </row>
    <row r="40" spans="1:17" s="150" customFormat="1" ht="35.1" customHeight="1">
      <c r="A40" s="878" t="s">
        <v>323</v>
      </c>
      <c r="B40" s="879"/>
      <c r="C40" s="883" t="s">
        <v>682</v>
      </c>
      <c r="D40" s="883"/>
      <c r="E40" s="883"/>
      <c r="F40" s="883"/>
      <c r="G40" s="883"/>
      <c r="H40" s="883"/>
      <c r="I40" s="883"/>
      <c r="J40" s="883"/>
      <c r="K40" s="883"/>
      <c r="L40" s="883"/>
      <c r="M40" s="884"/>
      <c r="P40" s="158"/>
    </row>
    <row r="41" spans="1:17" s="150" customFormat="1" ht="20.100000000000001" customHeight="1">
      <c r="A41" s="247" t="s">
        <v>338</v>
      </c>
      <c r="B41" s="249"/>
      <c r="C41" s="255" t="s">
        <v>358</v>
      </c>
      <c r="D41" s="873" t="s">
        <v>359</v>
      </c>
      <c r="E41" s="874"/>
      <c r="F41" s="874"/>
      <c r="G41" s="874"/>
      <c r="H41" s="874"/>
      <c r="I41" s="874"/>
      <c r="J41" s="874"/>
      <c r="K41" s="874"/>
      <c r="L41" s="874"/>
      <c r="M41" s="875"/>
      <c r="P41" s="158"/>
    </row>
    <row r="42" spans="1:17" s="150" customFormat="1" ht="20.100000000000001" customHeight="1">
      <c r="A42" s="248" t="s">
        <v>340</v>
      </c>
      <c r="B42" s="246"/>
      <c r="C42" s="876" t="s">
        <v>360</v>
      </c>
      <c r="D42" s="876"/>
      <c r="E42" s="876"/>
      <c r="F42" s="876"/>
      <c r="G42" s="876"/>
      <c r="H42" s="876"/>
      <c r="I42" s="876"/>
      <c r="J42" s="876"/>
      <c r="K42" s="876"/>
      <c r="L42" s="876"/>
      <c r="M42" s="877"/>
      <c r="P42" s="158"/>
    </row>
    <row r="43" spans="1:17" s="150" customFormat="1" ht="9.9499999999999993" customHeight="1">
      <c r="A43" s="158"/>
      <c r="B43" s="158"/>
      <c r="C43" s="158"/>
      <c r="D43" s="158"/>
      <c r="E43" s="158"/>
      <c r="F43" s="158"/>
      <c r="G43" s="158"/>
      <c r="H43" s="158"/>
      <c r="I43" s="158"/>
      <c r="J43" s="158"/>
      <c r="K43" s="158"/>
      <c r="L43" s="158"/>
      <c r="M43" s="158"/>
      <c r="N43" s="158"/>
      <c r="O43" s="158"/>
      <c r="P43" s="158"/>
    </row>
    <row r="44" spans="1:17" s="150" customFormat="1" ht="20.100000000000001" customHeight="1">
      <c r="A44" s="161" t="s">
        <v>327</v>
      </c>
      <c r="B44" s="162">
        <v>1</v>
      </c>
      <c r="C44" s="162">
        <v>2</v>
      </c>
      <c r="D44" s="162">
        <v>3</v>
      </c>
      <c r="E44" s="162">
        <v>4</v>
      </c>
      <c r="F44" s="162">
        <v>5</v>
      </c>
      <c r="G44" s="162">
        <v>6</v>
      </c>
      <c r="H44" s="162">
        <v>7</v>
      </c>
      <c r="I44" s="162">
        <v>8</v>
      </c>
      <c r="J44" s="162">
        <v>9</v>
      </c>
      <c r="K44" s="162">
        <v>10</v>
      </c>
      <c r="L44" s="162">
        <v>11</v>
      </c>
      <c r="M44" s="162">
        <v>12</v>
      </c>
    </row>
    <row r="45" spans="1:17" s="150" customFormat="1" ht="20.100000000000001" customHeight="1">
      <c r="A45" s="161" t="s">
        <v>328</v>
      </c>
      <c r="B45" s="566"/>
      <c r="C45" s="566"/>
      <c r="D45" s="566"/>
      <c r="E45" s="566"/>
      <c r="F45" s="566"/>
      <c r="G45" s="566"/>
      <c r="H45" s="164"/>
      <c r="I45" s="164"/>
      <c r="J45" s="164"/>
      <c r="K45" s="164"/>
      <c r="L45" s="164"/>
      <c r="M45" s="164"/>
    </row>
    <row r="46" spans="1:17" s="150" customFormat="1" ht="20.100000000000001" customHeight="1">
      <c r="A46" s="161" t="s">
        <v>329</v>
      </c>
      <c r="B46" s="243"/>
      <c r="C46" s="243"/>
      <c r="D46" s="243"/>
      <c r="E46" s="243"/>
      <c r="F46" s="243"/>
      <c r="G46" s="243"/>
      <c r="H46" s="243">
        <f>$D$26/18</f>
        <v>189103.54914991229</v>
      </c>
      <c r="I46" s="243">
        <f t="shared" ref="I46:M46" si="0">$D$26/18</f>
        <v>189103.54914991229</v>
      </c>
      <c r="J46" s="243">
        <f t="shared" si="0"/>
        <v>189103.54914991229</v>
      </c>
      <c r="K46" s="243">
        <f t="shared" si="0"/>
        <v>189103.54914991229</v>
      </c>
      <c r="L46" s="243">
        <f t="shared" si="0"/>
        <v>189103.54914991229</v>
      </c>
      <c r="M46" s="243">
        <f t="shared" si="0"/>
        <v>189103.54914991229</v>
      </c>
    </row>
    <row r="47" spans="1:17" s="150" customFormat="1" ht="20.100000000000001" customHeight="1"/>
    <row r="48" spans="1:17" s="150" customFormat="1" ht="20.100000000000001" customHeight="1">
      <c r="A48" s="161" t="s">
        <v>327</v>
      </c>
      <c r="B48" s="162">
        <v>13</v>
      </c>
      <c r="C48" s="162">
        <v>14</v>
      </c>
      <c r="D48" s="162">
        <v>15</v>
      </c>
      <c r="E48" s="162">
        <v>16</v>
      </c>
      <c r="F48" s="162">
        <v>17</v>
      </c>
      <c r="G48" s="162">
        <v>18</v>
      </c>
      <c r="H48" s="162">
        <v>19</v>
      </c>
      <c r="I48" s="162">
        <v>20</v>
      </c>
      <c r="J48" s="162">
        <v>21</v>
      </c>
      <c r="K48" s="162">
        <v>22</v>
      </c>
      <c r="L48" s="162">
        <v>23</v>
      </c>
      <c r="M48" s="162">
        <v>24</v>
      </c>
    </row>
    <row r="49" spans="1:13" s="150" customFormat="1" ht="20.100000000000001" customHeight="1">
      <c r="A49" s="161" t="s">
        <v>328</v>
      </c>
      <c r="B49" s="164"/>
      <c r="C49" s="164"/>
      <c r="D49" s="164"/>
      <c r="E49" s="164"/>
      <c r="F49" s="164"/>
      <c r="G49" s="164"/>
      <c r="H49" s="164"/>
      <c r="I49" s="164"/>
      <c r="J49" s="164"/>
      <c r="K49" s="164"/>
      <c r="L49" s="164"/>
      <c r="M49" s="164"/>
    </row>
    <row r="50" spans="1:13" s="150" customFormat="1" ht="20.100000000000001" customHeight="1">
      <c r="A50" s="161" t="s">
        <v>329</v>
      </c>
      <c r="B50" s="243">
        <f>D26/18</f>
        <v>189103.54914991229</v>
      </c>
      <c r="C50" s="243">
        <f t="shared" ref="C50:M50" si="1">E26/18</f>
        <v>0</v>
      </c>
      <c r="D50" s="243">
        <f t="shared" si="1"/>
        <v>0</v>
      </c>
      <c r="E50" s="243">
        <f t="shared" si="1"/>
        <v>0</v>
      </c>
      <c r="F50" s="243">
        <f t="shared" si="1"/>
        <v>0</v>
      </c>
      <c r="G50" s="243">
        <f t="shared" si="1"/>
        <v>0</v>
      </c>
      <c r="H50" s="243">
        <f t="shared" si="1"/>
        <v>0</v>
      </c>
      <c r="I50" s="243">
        <f t="shared" si="1"/>
        <v>0</v>
      </c>
      <c r="J50" s="243">
        <f t="shared" si="1"/>
        <v>0</v>
      </c>
      <c r="K50" s="243">
        <f t="shared" si="1"/>
        <v>0</v>
      </c>
      <c r="L50" s="243">
        <f t="shared" si="1"/>
        <v>0</v>
      </c>
      <c r="M50" s="243">
        <f t="shared" si="1"/>
        <v>0</v>
      </c>
    </row>
    <row r="51" spans="1:13" s="150" customFormat="1" ht="20.100000000000001" customHeight="1"/>
    <row r="52" spans="1:13" s="150" customFormat="1" ht="20.100000000000001" customHeight="1">
      <c r="A52" s="161" t="s">
        <v>327</v>
      </c>
      <c r="B52" s="162">
        <v>25</v>
      </c>
      <c r="C52" s="162">
        <v>26</v>
      </c>
      <c r="D52" s="162">
        <v>27</v>
      </c>
      <c r="E52" s="162">
        <v>28</v>
      </c>
      <c r="F52" s="162">
        <v>29</v>
      </c>
      <c r="G52" s="162">
        <v>30</v>
      </c>
      <c r="H52" s="162">
        <v>31</v>
      </c>
      <c r="I52" s="162">
        <v>32</v>
      </c>
      <c r="J52" s="162">
        <v>33</v>
      </c>
      <c r="K52" s="162">
        <v>34</v>
      </c>
      <c r="L52" s="162">
        <v>35</v>
      </c>
      <c r="M52" s="162">
        <v>36</v>
      </c>
    </row>
    <row r="53" spans="1:13" s="150" customFormat="1" ht="20.100000000000001" customHeight="1">
      <c r="A53" s="161" t="s">
        <v>328</v>
      </c>
      <c r="B53" s="163"/>
      <c r="C53" s="163"/>
      <c r="D53" s="163"/>
      <c r="E53" s="163"/>
      <c r="F53" s="163"/>
      <c r="G53" s="163"/>
      <c r="H53" s="163"/>
      <c r="I53" s="163"/>
      <c r="J53" s="163"/>
      <c r="K53" s="163"/>
      <c r="L53" s="163"/>
      <c r="M53" s="163"/>
    </row>
    <row r="54" spans="1:13" s="150" customFormat="1" ht="20.100000000000001" customHeight="1">
      <c r="A54" s="161" t="s">
        <v>329</v>
      </c>
      <c r="B54" s="163"/>
      <c r="C54" s="163"/>
      <c r="D54" s="163"/>
      <c r="E54" s="163"/>
      <c r="F54" s="163"/>
      <c r="G54" s="163"/>
      <c r="H54" s="163"/>
      <c r="I54" s="163"/>
      <c r="J54" s="163"/>
      <c r="K54" s="163"/>
      <c r="L54" s="163"/>
      <c r="M54" s="163"/>
    </row>
    <row r="55" spans="1:13" s="150" customFormat="1" ht="20.100000000000001" customHeight="1"/>
    <row r="56" spans="1:13" s="150" customFormat="1" ht="20.100000000000001" customHeight="1">
      <c r="A56" s="161" t="s">
        <v>327</v>
      </c>
      <c r="B56" s="162">
        <v>37</v>
      </c>
      <c r="C56" s="162">
        <v>38</v>
      </c>
      <c r="D56" s="162">
        <v>39</v>
      </c>
      <c r="E56" s="162">
        <v>40</v>
      </c>
      <c r="F56" s="162">
        <v>41</v>
      </c>
      <c r="G56" s="162">
        <v>42</v>
      </c>
      <c r="H56" s="162">
        <v>43</v>
      </c>
      <c r="I56" s="162">
        <v>44</v>
      </c>
      <c r="J56" s="162">
        <v>45</v>
      </c>
      <c r="K56" s="162">
        <v>46</v>
      </c>
      <c r="L56" s="162">
        <v>47</v>
      </c>
      <c r="M56" s="162">
        <v>48</v>
      </c>
    </row>
    <row r="57" spans="1:13" s="150" customFormat="1" ht="20.100000000000001" customHeight="1">
      <c r="A57" s="161" t="s">
        <v>328</v>
      </c>
      <c r="B57" s="163"/>
      <c r="C57" s="163"/>
      <c r="D57" s="163"/>
      <c r="E57" s="163"/>
      <c r="F57" s="163"/>
      <c r="G57" s="163"/>
      <c r="H57" s="163"/>
      <c r="I57" s="163"/>
      <c r="J57" s="163"/>
      <c r="K57" s="163"/>
      <c r="L57" s="163"/>
      <c r="M57" s="163"/>
    </row>
    <row r="58" spans="1:13" s="150" customFormat="1" ht="20.100000000000001" customHeight="1">
      <c r="A58" s="161" t="s">
        <v>329</v>
      </c>
      <c r="B58" s="163"/>
      <c r="C58" s="163"/>
      <c r="D58" s="163"/>
      <c r="E58" s="163"/>
      <c r="F58" s="163"/>
      <c r="G58" s="163"/>
      <c r="H58" s="163"/>
      <c r="I58" s="163"/>
      <c r="J58" s="163"/>
      <c r="K58" s="163"/>
      <c r="L58" s="163"/>
      <c r="M58" s="163"/>
    </row>
    <row r="60" spans="1:13" s="150" customFormat="1" ht="20.100000000000001" customHeight="1">
      <c r="A60" s="161" t="s">
        <v>327</v>
      </c>
      <c r="B60" s="162">
        <v>49</v>
      </c>
      <c r="C60" s="162">
        <v>50</v>
      </c>
      <c r="D60" s="162">
        <v>51</v>
      </c>
      <c r="E60" s="162">
        <v>52</v>
      </c>
      <c r="F60" s="162">
        <v>53</v>
      </c>
      <c r="G60" s="162">
        <v>54</v>
      </c>
      <c r="H60" s="162">
        <v>55</v>
      </c>
      <c r="I60" s="162">
        <v>56</v>
      </c>
      <c r="J60" s="162">
        <v>57</v>
      </c>
      <c r="K60" s="162">
        <v>58</v>
      </c>
      <c r="L60" s="162">
        <v>59</v>
      </c>
      <c r="M60" s="162">
        <v>60</v>
      </c>
    </row>
    <row r="61" spans="1:13" s="150" customFormat="1" ht="20.100000000000001" customHeight="1">
      <c r="A61" s="161" t="s">
        <v>328</v>
      </c>
      <c r="B61" s="163"/>
      <c r="C61" s="163"/>
      <c r="D61" s="163"/>
      <c r="E61" s="163"/>
      <c r="F61" s="163"/>
      <c r="G61" s="163"/>
      <c r="H61" s="163"/>
      <c r="I61" s="163"/>
      <c r="J61" s="163"/>
      <c r="K61" s="163"/>
      <c r="L61" s="163"/>
      <c r="M61" s="163"/>
    </row>
    <row r="62" spans="1:13" s="150" customFormat="1" ht="20.100000000000001" customHeight="1">
      <c r="A62" s="161" t="s">
        <v>329</v>
      </c>
      <c r="B62" s="163"/>
      <c r="C62" s="163"/>
      <c r="D62" s="163"/>
      <c r="E62" s="163"/>
      <c r="F62" s="163"/>
      <c r="G62" s="163"/>
      <c r="H62" s="163"/>
      <c r="I62" s="163"/>
      <c r="J62" s="163"/>
      <c r="K62" s="163"/>
      <c r="L62" s="163"/>
      <c r="M62" s="163"/>
    </row>
  </sheetData>
  <mergeCells count="71">
    <mergeCell ref="D41:M41"/>
    <mergeCell ref="C42:M42"/>
    <mergeCell ref="F23:G23"/>
    <mergeCell ref="D23:E23"/>
    <mergeCell ref="A33:B33"/>
    <mergeCell ref="A34:B34"/>
    <mergeCell ref="A37:B37"/>
    <mergeCell ref="A38:B38"/>
    <mergeCell ref="C38:M38"/>
    <mergeCell ref="A40:B40"/>
    <mergeCell ref="C40:M40"/>
    <mergeCell ref="A28:M28"/>
    <mergeCell ref="A31:M31"/>
    <mergeCell ref="D33:M33"/>
    <mergeCell ref="D34:M34"/>
    <mergeCell ref="D35:M35"/>
    <mergeCell ref="D36:M36"/>
    <mergeCell ref="B26:C26"/>
    <mergeCell ref="D26:E26"/>
    <mergeCell ref="F26:G26"/>
    <mergeCell ref="H26:I26"/>
    <mergeCell ref="J26:K26"/>
    <mergeCell ref="L26:M26"/>
    <mergeCell ref="B23:C23"/>
    <mergeCell ref="H23:I23"/>
    <mergeCell ref="J23:K23"/>
    <mergeCell ref="L23:M23"/>
    <mergeCell ref="B25:C25"/>
    <mergeCell ref="D25:E25"/>
    <mergeCell ref="F25:G25"/>
    <mergeCell ref="H25:I25"/>
    <mergeCell ref="J25:K25"/>
    <mergeCell ref="L25:M25"/>
    <mergeCell ref="A19:C19"/>
    <mergeCell ref="D19:M19"/>
    <mergeCell ref="A20:C20"/>
    <mergeCell ref="D20:M20"/>
    <mergeCell ref="B22:C22"/>
    <mergeCell ref="D22:E22"/>
    <mergeCell ref="F22:G22"/>
    <mergeCell ref="H22:I22"/>
    <mergeCell ref="J22:K22"/>
    <mergeCell ref="L22:M22"/>
    <mergeCell ref="A16:C16"/>
    <mergeCell ref="D16:M16"/>
    <mergeCell ref="A17:C17"/>
    <mergeCell ref="D17:M17"/>
    <mergeCell ref="A18:C18"/>
    <mergeCell ref="D18:M18"/>
    <mergeCell ref="A13:C13"/>
    <mergeCell ref="D13:M13"/>
    <mergeCell ref="A14:C14"/>
    <mergeCell ref="D14:M14"/>
    <mergeCell ref="A15:C15"/>
    <mergeCell ref="D15:M15"/>
    <mergeCell ref="A12:C12"/>
    <mergeCell ref="D12:M12"/>
    <mergeCell ref="A1:M1"/>
    <mergeCell ref="D3:M3"/>
    <mergeCell ref="A4:C4"/>
    <mergeCell ref="D4:M4"/>
    <mergeCell ref="D6:M6"/>
    <mergeCell ref="A7:C7"/>
    <mergeCell ref="D7:M7"/>
    <mergeCell ref="A3:B3"/>
    <mergeCell ref="A6:B6"/>
    <mergeCell ref="A8:C8"/>
    <mergeCell ref="D8:M8"/>
    <mergeCell ref="A9:C9"/>
    <mergeCell ref="D9:M9"/>
    <mergeCell ref="D11:M11"/>
  </mergeCells>
  <printOptions horizontalCentered="1"/>
  <pageMargins left="0.51181102362204722" right="0.51181102362204722" top="0.78740157480314965" bottom="0.78740157480314965" header="0.31496062992125984" footer="0.31496062992125984"/>
  <pageSetup paperSize="9" scale="94" fitToHeight="0" orientation="portrait" r:id="rId1"/>
  <headerFooter>
    <oddFooter>&amp;L&amp;F&amp;C&amp;A&amp;R&amp;P/&amp;N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65"/>
  <sheetViews>
    <sheetView topLeftCell="A18" workbookViewId="0">
      <selection activeCell="E40" sqref="E40"/>
    </sheetView>
  </sheetViews>
  <sheetFormatPr defaultRowHeight="15"/>
  <cols>
    <col min="1" max="1" width="10.125" style="130" customWidth="1"/>
    <col min="2" max="13" width="6.625" style="130" customWidth="1"/>
    <col min="14" max="17" width="9" style="130"/>
    <col min="18" max="18" width="43.25" style="130" customWidth="1"/>
    <col min="19" max="16384" width="9" style="130"/>
  </cols>
  <sheetData>
    <row r="1" spans="1:13" s="129" customFormat="1" ht="39.950000000000003" customHeight="1">
      <c r="A1" s="804" t="s">
        <v>673</v>
      </c>
      <c r="B1" s="804"/>
      <c r="C1" s="804"/>
      <c r="D1" s="804"/>
      <c r="E1" s="804"/>
      <c r="F1" s="804"/>
      <c r="G1" s="804"/>
      <c r="H1" s="804"/>
      <c r="I1" s="804"/>
      <c r="J1" s="804"/>
      <c r="K1" s="804"/>
      <c r="L1" s="804"/>
      <c r="M1" s="804"/>
    </row>
    <row r="3" spans="1:13" ht="20.100000000000001" customHeight="1">
      <c r="A3" s="132" t="s">
        <v>190</v>
      </c>
      <c r="B3" s="152"/>
      <c r="C3" s="133">
        <v>1</v>
      </c>
      <c r="D3" s="901" t="s">
        <v>312</v>
      </c>
      <c r="E3" s="902"/>
      <c r="F3" s="902"/>
      <c r="G3" s="902"/>
      <c r="H3" s="902"/>
      <c r="I3" s="902"/>
      <c r="J3" s="902"/>
      <c r="K3" s="902"/>
      <c r="L3" s="902"/>
      <c r="M3" s="903"/>
    </row>
    <row r="4" spans="1:13" ht="45" customHeight="1">
      <c r="A4" s="896" t="s">
        <v>294</v>
      </c>
      <c r="B4" s="896"/>
      <c r="C4" s="896"/>
      <c r="D4" s="897" t="s">
        <v>286</v>
      </c>
      <c r="E4" s="897"/>
      <c r="F4" s="897"/>
      <c r="G4" s="897"/>
      <c r="H4" s="897"/>
      <c r="I4" s="897"/>
      <c r="J4" s="897"/>
      <c r="K4" s="897"/>
      <c r="L4" s="897"/>
      <c r="M4" s="897"/>
    </row>
    <row r="6" spans="1:13" ht="20.100000000000001" customHeight="1">
      <c r="A6" s="132" t="s">
        <v>192</v>
      </c>
      <c r="B6" s="152"/>
      <c r="C6" s="133">
        <v>8</v>
      </c>
      <c r="D6" s="904" t="s">
        <v>467</v>
      </c>
      <c r="E6" s="905"/>
      <c r="F6" s="905"/>
      <c r="G6" s="905"/>
      <c r="H6" s="905"/>
      <c r="I6" s="905"/>
      <c r="J6" s="905"/>
      <c r="K6" s="905"/>
      <c r="L6" s="905"/>
      <c r="M6" s="906"/>
    </row>
    <row r="7" spans="1:13" ht="45" customHeight="1">
      <c r="A7" s="896" t="s">
        <v>291</v>
      </c>
      <c r="B7" s="896"/>
      <c r="C7" s="896"/>
      <c r="D7" s="897" t="s">
        <v>660</v>
      </c>
      <c r="E7" s="897"/>
      <c r="F7" s="897"/>
      <c r="G7" s="897"/>
      <c r="H7" s="897"/>
      <c r="I7" s="897"/>
      <c r="J7" s="897"/>
      <c r="K7" s="897"/>
      <c r="L7" s="897"/>
      <c r="M7" s="897"/>
    </row>
    <row r="8" spans="1:13" ht="64.5" customHeight="1">
      <c r="A8" s="896" t="s">
        <v>293</v>
      </c>
      <c r="B8" s="896"/>
      <c r="C8" s="896"/>
      <c r="D8" s="897" t="s">
        <v>661</v>
      </c>
      <c r="E8" s="897"/>
      <c r="F8" s="897"/>
      <c r="G8" s="897"/>
      <c r="H8" s="897"/>
      <c r="I8" s="897"/>
      <c r="J8" s="897"/>
      <c r="K8" s="897"/>
      <c r="L8" s="897"/>
      <c r="M8" s="897"/>
    </row>
    <row r="9" spans="1:13" ht="30" customHeight="1">
      <c r="A9" s="896" t="s">
        <v>292</v>
      </c>
      <c r="B9" s="896"/>
      <c r="C9" s="896"/>
      <c r="D9" s="897" t="s">
        <v>662</v>
      </c>
      <c r="E9" s="897"/>
      <c r="F9" s="897"/>
      <c r="G9" s="897"/>
      <c r="H9" s="897"/>
      <c r="I9" s="897"/>
      <c r="J9" s="897"/>
      <c r="K9" s="897"/>
      <c r="L9" s="897"/>
      <c r="M9" s="897"/>
    </row>
    <row r="11" spans="1:13" ht="30" customHeight="1">
      <c r="A11" s="132" t="s">
        <v>193</v>
      </c>
      <c r="B11" s="152"/>
      <c r="C11" s="133">
        <v>4</v>
      </c>
      <c r="D11" s="907" t="s">
        <v>475</v>
      </c>
      <c r="E11" s="908"/>
      <c r="F11" s="908"/>
      <c r="G11" s="908"/>
      <c r="H11" s="908"/>
      <c r="I11" s="908"/>
      <c r="J11" s="908"/>
      <c r="K11" s="908"/>
      <c r="L11" s="908"/>
      <c r="M11" s="909"/>
    </row>
    <row r="12" spans="1:13" s="150" customFormat="1" ht="20.100000000000001" customHeight="1">
      <c r="A12" s="898" t="s">
        <v>308</v>
      </c>
      <c r="B12" s="899"/>
      <c r="C12" s="900"/>
      <c r="D12" s="897" t="s">
        <v>474</v>
      </c>
      <c r="E12" s="897"/>
      <c r="F12" s="897"/>
      <c r="G12" s="897"/>
      <c r="H12" s="897"/>
      <c r="I12" s="897"/>
      <c r="J12" s="897"/>
      <c r="K12" s="897"/>
      <c r="L12" s="897"/>
      <c r="M12" s="897"/>
    </row>
    <row r="13" spans="1:13" ht="30" customHeight="1">
      <c r="A13" s="896" t="s">
        <v>296</v>
      </c>
      <c r="B13" s="896"/>
      <c r="C13" s="896"/>
      <c r="D13" s="897" t="s">
        <v>672</v>
      </c>
      <c r="E13" s="897"/>
      <c r="F13" s="897"/>
      <c r="G13" s="897"/>
      <c r="H13" s="897"/>
      <c r="I13" s="897"/>
      <c r="J13" s="897"/>
      <c r="K13" s="897"/>
      <c r="L13" s="897"/>
      <c r="M13" s="897"/>
    </row>
    <row r="14" spans="1:13" ht="20.100000000000001" customHeight="1">
      <c r="A14" s="896" t="s">
        <v>311</v>
      </c>
      <c r="B14" s="896"/>
      <c r="C14" s="896"/>
      <c r="D14" s="897" t="s">
        <v>671</v>
      </c>
      <c r="E14" s="897"/>
      <c r="F14" s="897"/>
      <c r="G14" s="897"/>
      <c r="H14" s="897"/>
      <c r="I14" s="897"/>
      <c r="J14" s="897"/>
      <c r="K14" s="897"/>
      <c r="L14" s="897"/>
      <c r="M14" s="897"/>
    </row>
    <row r="15" spans="1:13" s="150" customFormat="1" ht="20.100000000000001" customHeight="1">
      <c r="A15" s="898" t="s">
        <v>305</v>
      </c>
      <c r="B15" s="899"/>
      <c r="C15" s="900"/>
      <c r="D15" s="897" t="s">
        <v>304</v>
      </c>
      <c r="E15" s="897"/>
      <c r="F15" s="897"/>
      <c r="G15" s="897"/>
      <c r="H15" s="897"/>
      <c r="I15" s="897"/>
      <c r="J15" s="897"/>
      <c r="K15" s="897"/>
      <c r="L15" s="897"/>
      <c r="M15" s="897"/>
    </row>
    <row r="16" spans="1:13" ht="45" customHeight="1">
      <c r="A16" s="896" t="s">
        <v>297</v>
      </c>
      <c r="B16" s="896"/>
      <c r="C16" s="896"/>
      <c r="D16" s="897" t="s">
        <v>674</v>
      </c>
      <c r="E16" s="897"/>
      <c r="F16" s="897"/>
      <c r="G16" s="897"/>
      <c r="H16" s="897"/>
      <c r="I16" s="897"/>
      <c r="J16" s="897"/>
      <c r="K16" s="897"/>
      <c r="L16" s="897"/>
      <c r="M16" s="897"/>
    </row>
    <row r="17" spans="1:13" ht="60" customHeight="1">
      <c r="A17" s="896" t="s">
        <v>299</v>
      </c>
      <c r="B17" s="896"/>
      <c r="C17" s="896"/>
      <c r="D17" s="897" t="s">
        <v>675</v>
      </c>
      <c r="E17" s="897"/>
      <c r="F17" s="897"/>
      <c r="G17" s="897"/>
      <c r="H17" s="897"/>
      <c r="I17" s="897"/>
      <c r="J17" s="897"/>
      <c r="K17" s="897"/>
      <c r="L17" s="897"/>
      <c r="M17" s="897"/>
    </row>
    <row r="18" spans="1:13" ht="30" customHeight="1">
      <c r="A18" s="896" t="s">
        <v>292</v>
      </c>
      <c r="B18" s="896"/>
      <c r="C18" s="896"/>
      <c r="D18" s="897" t="s">
        <v>676</v>
      </c>
      <c r="E18" s="897"/>
      <c r="F18" s="897"/>
      <c r="G18" s="897"/>
      <c r="H18" s="897"/>
      <c r="I18" s="897"/>
      <c r="J18" s="897"/>
      <c r="K18" s="897"/>
      <c r="L18" s="897"/>
      <c r="M18" s="897"/>
    </row>
    <row r="19" spans="1:13" ht="20.100000000000001" customHeight="1">
      <c r="A19" s="896" t="s">
        <v>302</v>
      </c>
      <c r="B19" s="896"/>
      <c r="C19" s="896"/>
      <c r="D19" s="897" t="s">
        <v>694</v>
      </c>
      <c r="E19" s="897"/>
      <c r="F19" s="897"/>
      <c r="G19" s="897"/>
      <c r="H19" s="897"/>
      <c r="I19" s="897"/>
      <c r="J19" s="897"/>
      <c r="K19" s="897"/>
      <c r="L19" s="897"/>
      <c r="M19" s="897"/>
    </row>
    <row r="20" spans="1:13" ht="20.100000000000001" customHeight="1">
      <c r="A20" s="896" t="s">
        <v>303</v>
      </c>
      <c r="B20" s="896"/>
      <c r="C20" s="896"/>
      <c r="D20" s="897" t="s">
        <v>224</v>
      </c>
      <c r="E20" s="897"/>
      <c r="F20" s="897"/>
      <c r="G20" s="897"/>
      <c r="H20" s="897"/>
      <c r="I20" s="897"/>
      <c r="J20" s="897"/>
      <c r="K20" s="897"/>
      <c r="L20" s="897"/>
      <c r="M20" s="897"/>
    </row>
    <row r="21" spans="1:13" ht="20.100000000000001" customHeight="1"/>
    <row r="22" spans="1:13" ht="20.100000000000001" customHeight="1">
      <c r="A22" s="151" t="s">
        <v>339</v>
      </c>
      <c r="B22" s="894" t="s">
        <v>313</v>
      </c>
      <c r="C22" s="895"/>
      <c r="D22" s="893">
        <v>2021</v>
      </c>
      <c r="E22" s="893"/>
      <c r="F22" s="893">
        <v>2022</v>
      </c>
      <c r="G22" s="893"/>
      <c r="H22" s="893">
        <v>2023</v>
      </c>
      <c r="I22" s="893"/>
      <c r="J22" s="893">
        <v>2024</v>
      </c>
      <c r="K22" s="893"/>
      <c r="L22" s="893">
        <v>2025</v>
      </c>
      <c r="M22" s="893"/>
    </row>
    <row r="23" spans="1:13" ht="20.100000000000001" customHeight="1">
      <c r="A23" s="134" t="str">
        <f>D12</f>
        <v>1.8.4</v>
      </c>
      <c r="B23" s="886">
        <f>D23+F23+H23+J23+L23</f>
        <v>2</v>
      </c>
      <c r="C23" s="890"/>
      <c r="D23" s="886">
        <v>0</v>
      </c>
      <c r="E23" s="887">
        <f>('Escola de projetos'!$F$12+('Escola de projetos'!$F$23/3)+('Escola de projetos'!$F$28/3))/12</f>
        <v>30788.952596626321</v>
      </c>
      <c r="F23" s="886">
        <v>0</v>
      </c>
      <c r="G23" s="887"/>
      <c r="H23" s="886">
        <v>2</v>
      </c>
      <c r="I23" s="887"/>
      <c r="J23" s="886">
        <v>0</v>
      </c>
      <c r="K23" s="887"/>
      <c r="L23" s="886">
        <v>0</v>
      </c>
      <c r="M23" s="887"/>
    </row>
    <row r="24" spans="1:13" ht="20.100000000000001" customHeight="1"/>
    <row r="25" spans="1:13" ht="20.100000000000001" customHeight="1">
      <c r="A25" s="151" t="s">
        <v>339</v>
      </c>
      <c r="B25" s="894" t="s">
        <v>173</v>
      </c>
      <c r="C25" s="895"/>
      <c r="D25" s="893">
        <v>2021</v>
      </c>
      <c r="E25" s="893"/>
      <c r="F25" s="893">
        <v>2022</v>
      </c>
      <c r="G25" s="893"/>
      <c r="H25" s="893">
        <v>2023</v>
      </c>
      <c r="I25" s="893"/>
      <c r="J25" s="893">
        <v>2024</v>
      </c>
      <c r="K25" s="893"/>
      <c r="L25" s="893">
        <v>2025</v>
      </c>
      <c r="M25" s="893"/>
    </row>
    <row r="26" spans="1:13" ht="20.100000000000001" customHeight="1">
      <c r="A26" s="134" t="str">
        <f>D12</f>
        <v>1.8.4</v>
      </c>
      <c r="B26" s="886">
        <f>D26+F26+H26+J26+L26</f>
        <v>40000000</v>
      </c>
      <c r="C26" s="890"/>
      <c r="D26" s="886">
        <v>0</v>
      </c>
      <c r="E26" s="887">
        <f>('Escola de projetos'!$F$12+('Escola de projetos'!$F$23/3)+('Escola de projetos'!$F$28/3))/12</f>
        <v>30788.952596626321</v>
      </c>
      <c r="F26" s="886">
        <v>0</v>
      </c>
      <c r="G26" s="887">
        <f>('Escola de projetos'!$F$12+('Escola de projetos'!$F$23/3)+('Escola de projetos'!$F$28/3))/12</f>
        <v>30788.952596626321</v>
      </c>
      <c r="H26" s="886">
        <v>40000000</v>
      </c>
      <c r="I26" s="887">
        <f>('Escola de projetos'!$F$12+('Escola de projetos'!$F$23/3)+('Escola de projetos'!$F$28/3))/12</f>
        <v>30788.952596626321</v>
      </c>
      <c r="J26" s="886">
        <v>0</v>
      </c>
      <c r="K26" s="887">
        <f>('Escola de projetos'!$F$12+('Escola de projetos'!$F$23/3)+('Escola de projetos'!$F$28/3))/12</f>
        <v>30788.952596626321</v>
      </c>
      <c r="L26" s="886">
        <v>0</v>
      </c>
      <c r="M26" s="887">
        <f>('Escola de projetos'!$F$12+('Escola de projetos'!$F$23/3)+('Escola de projetos'!$F$28/3))/12</f>
        <v>30788.952596626321</v>
      </c>
    </row>
    <row r="28" spans="1:13" ht="15" customHeight="1">
      <c r="A28" s="891"/>
      <c r="B28" s="891"/>
      <c r="C28" s="891"/>
      <c r="D28" s="891"/>
      <c r="E28" s="891"/>
      <c r="F28" s="891"/>
      <c r="G28" s="891"/>
      <c r="H28" s="891"/>
      <c r="I28" s="891"/>
      <c r="J28" s="891"/>
      <c r="K28" s="891"/>
      <c r="L28" s="891"/>
      <c r="M28" s="891"/>
    </row>
    <row r="29" spans="1:13">
      <c r="A29" s="558"/>
      <c r="B29" s="532"/>
      <c r="C29" s="532"/>
    </row>
    <row r="31" spans="1:13" s="129" customFormat="1" ht="39.950000000000003" customHeight="1">
      <c r="A31" s="804" t="s">
        <v>341</v>
      </c>
      <c r="B31" s="804"/>
      <c r="C31" s="804"/>
      <c r="D31" s="804"/>
      <c r="E31" s="804"/>
      <c r="F31" s="804"/>
      <c r="G31" s="804"/>
      <c r="H31" s="804"/>
      <c r="I31" s="804"/>
      <c r="J31" s="804"/>
      <c r="K31" s="804"/>
      <c r="L31" s="804"/>
      <c r="M31" s="804"/>
    </row>
    <row r="33" spans="1:17" ht="30" customHeight="1">
      <c r="A33" s="155" t="str">
        <f>A3</f>
        <v>FINALIDADE</v>
      </c>
      <c r="B33" s="154"/>
      <c r="C33" s="250">
        <f>C3</f>
        <v>1</v>
      </c>
      <c r="D33" s="892" t="str">
        <f>D3</f>
        <v>Gestão de recursos hídricos</v>
      </c>
      <c r="E33" s="892"/>
      <c r="F33" s="892"/>
      <c r="G33" s="892"/>
      <c r="H33" s="892"/>
      <c r="I33" s="892"/>
      <c r="J33" s="892"/>
      <c r="K33" s="892"/>
      <c r="L33" s="892"/>
      <c r="M33" s="892"/>
    </row>
    <row r="34" spans="1:17" ht="30" customHeight="1">
      <c r="A34" s="157" t="str">
        <f>A6</f>
        <v>PROGRAMA</v>
      </c>
      <c r="B34" s="159"/>
      <c r="C34" s="167">
        <f>C6</f>
        <v>8</v>
      </c>
      <c r="D34" s="885" t="str">
        <f>D6</f>
        <v>Segurança hídrica e eventos críticos</v>
      </c>
      <c r="E34" s="885"/>
      <c r="F34" s="885"/>
      <c r="G34" s="885"/>
      <c r="H34" s="885"/>
      <c r="I34" s="885"/>
      <c r="J34" s="885"/>
      <c r="K34" s="885"/>
      <c r="L34" s="885"/>
      <c r="M34" s="885"/>
    </row>
    <row r="35" spans="1:17" ht="30" customHeight="1">
      <c r="A35" s="156" t="str">
        <f>A11</f>
        <v>AÇÃO</v>
      </c>
      <c r="B35" s="160"/>
      <c r="C35" s="167">
        <f>C11</f>
        <v>4</v>
      </c>
      <c r="D35" s="885" t="str">
        <f>D11</f>
        <v>Estudos, planos, projetos e obras para implantação, expansão ou adequação de estruturas hidráulicas para aumento da segurança hídrica</v>
      </c>
      <c r="E35" s="885"/>
      <c r="F35" s="885"/>
      <c r="G35" s="885"/>
      <c r="H35" s="885"/>
      <c r="I35" s="885"/>
      <c r="J35" s="885"/>
      <c r="K35" s="885"/>
      <c r="L35" s="885"/>
      <c r="M35" s="885"/>
    </row>
    <row r="36" spans="1:17" ht="30" customHeight="1">
      <c r="A36" s="165" t="s">
        <v>317</v>
      </c>
      <c r="B36" s="166"/>
      <c r="C36" s="167">
        <v>2</v>
      </c>
      <c r="D36" s="885" t="s">
        <v>699</v>
      </c>
      <c r="E36" s="885"/>
      <c r="F36" s="885"/>
      <c r="G36" s="885"/>
      <c r="H36" s="885"/>
      <c r="I36" s="885"/>
      <c r="J36" s="885"/>
      <c r="K36" s="885"/>
      <c r="L36" s="885"/>
      <c r="M36" s="885"/>
    </row>
    <row r="37" spans="1:17" s="150" customFormat="1" ht="30" customHeight="1">
      <c r="A37" s="878" t="s">
        <v>308</v>
      </c>
      <c r="B37" s="879"/>
      <c r="C37" s="560"/>
      <c r="D37" s="551">
        <f>C33</f>
        <v>1</v>
      </c>
      <c r="E37" s="551">
        <f>C34</f>
        <v>8</v>
      </c>
      <c r="F37" s="551">
        <f>C35</f>
        <v>4</v>
      </c>
      <c r="G37" s="551">
        <f>C36</f>
        <v>2</v>
      </c>
      <c r="H37" s="560"/>
      <c r="I37" s="560"/>
      <c r="J37" s="560"/>
      <c r="K37" s="560"/>
      <c r="L37" s="560"/>
      <c r="M37" s="561"/>
    </row>
    <row r="38" spans="1:17" s="150" customFormat="1" ht="65.25" customHeight="1">
      <c r="A38" s="880" t="s">
        <v>321</v>
      </c>
      <c r="B38" s="881"/>
      <c r="C38" s="919" t="s">
        <v>695</v>
      </c>
      <c r="D38" s="920"/>
      <c r="E38" s="920"/>
      <c r="F38" s="920"/>
      <c r="G38" s="920"/>
      <c r="H38" s="920"/>
      <c r="I38" s="920"/>
      <c r="J38" s="920"/>
      <c r="K38" s="920"/>
      <c r="L38" s="920"/>
      <c r="M38" s="921"/>
      <c r="P38" s="158"/>
      <c r="Q38" s="253"/>
    </row>
    <row r="39" spans="1:17" s="150" customFormat="1" ht="20.100000000000001" customHeight="1">
      <c r="P39" s="158"/>
    </row>
    <row r="40" spans="1:17" s="150" customFormat="1" ht="20.100000000000001" customHeight="1">
      <c r="P40" s="158"/>
    </row>
    <row r="41" spans="1:17" s="150" customFormat="1" ht="35.1" customHeight="1">
      <c r="A41" s="878" t="s">
        <v>650</v>
      </c>
      <c r="B41" s="879"/>
      <c r="C41" s="883" t="s">
        <v>700</v>
      </c>
      <c r="D41" s="883"/>
      <c r="E41" s="883"/>
      <c r="F41" s="883"/>
      <c r="G41" s="883"/>
      <c r="H41" s="883"/>
      <c r="I41" s="883"/>
      <c r="J41" s="883"/>
      <c r="K41" s="883"/>
      <c r="L41" s="883"/>
      <c r="M41" s="884"/>
      <c r="P41" s="158"/>
    </row>
    <row r="42" spans="1:17" s="150" customFormat="1" ht="20.100000000000001" customHeight="1">
      <c r="A42" s="247" t="s">
        <v>338</v>
      </c>
      <c r="B42" s="249"/>
      <c r="C42" s="551" t="s">
        <v>696</v>
      </c>
      <c r="D42" s="873" t="s">
        <v>697</v>
      </c>
      <c r="E42" s="874"/>
      <c r="F42" s="874"/>
      <c r="G42" s="874"/>
      <c r="H42" s="874"/>
      <c r="I42" s="874"/>
      <c r="J42" s="874"/>
      <c r="K42" s="874"/>
      <c r="L42" s="874"/>
      <c r="M42" s="875"/>
      <c r="P42" s="158"/>
    </row>
    <row r="43" spans="1:17" s="150" customFormat="1" ht="20.100000000000001" customHeight="1">
      <c r="A43" s="248" t="s">
        <v>340</v>
      </c>
      <c r="B43" s="246"/>
      <c r="C43" s="876" t="s">
        <v>651</v>
      </c>
      <c r="D43" s="876"/>
      <c r="E43" s="876"/>
      <c r="F43" s="876"/>
      <c r="G43" s="876"/>
      <c r="H43" s="876"/>
      <c r="I43" s="876"/>
      <c r="J43" s="876"/>
      <c r="K43" s="876"/>
      <c r="L43" s="876"/>
      <c r="M43" s="877"/>
      <c r="P43" s="158"/>
    </row>
    <row r="44" spans="1:17" s="150" customFormat="1" ht="9.9499999999999993" customHeight="1">
      <c r="P44" s="158"/>
    </row>
    <row r="45" spans="1:17" s="150" customFormat="1" ht="20.100000000000001" customHeight="1">
      <c r="A45" s="161" t="s">
        <v>327</v>
      </c>
      <c r="B45" s="162">
        <v>1</v>
      </c>
      <c r="C45" s="162">
        <v>2</v>
      </c>
      <c r="D45" s="162">
        <v>3</v>
      </c>
      <c r="E45" s="162">
        <v>4</v>
      </c>
      <c r="F45" s="162">
        <v>5</v>
      </c>
      <c r="G45" s="162">
        <v>6</v>
      </c>
      <c r="H45" s="162">
        <v>7</v>
      </c>
      <c r="I45" s="162">
        <v>8</v>
      </c>
      <c r="J45" s="162">
        <v>9</v>
      </c>
      <c r="K45" s="162">
        <v>10</v>
      </c>
      <c r="L45" s="162">
        <v>11</v>
      </c>
      <c r="M45" s="162">
        <v>12</v>
      </c>
    </row>
    <row r="46" spans="1:17" s="150" customFormat="1" ht="20.100000000000001" customHeight="1">
      <c r="A46" s="161" t="s">
        <v>328</v>
      </c>
      <c r="B46" s="243">
        <f>$D$26/12</f>
        <v>0</v>
      </c>
      <c r="C46" s="243">
        <f t="shared" ref="C46:M47" si="0">$D$26/12</f>
        <v>0</v>
      </c>
      <c r="D46" s="243">
        <f t="shared" si="0"/>
        <v>0</v>
      </c>
      <c r="E46" s="243">
        <f t="shared" si="0"/>
        <v>0</v>
      </c>
      <c r="F46" s="243">
        <f t="shared" si="0"/>
        <v>0</v>
      </c>
      <c r="G46" s="243">
        <f t="shared" si="0"/>
        <v>0</v>
      </c>
      <c r="H46" s="243">
        <f t="shared" si="0"/>
        <v>0</v>
      </c>
      <c r="I46" s="243">
        <f t="shared" si="0"/>
        <v>0</v>
      </c>
      <c r="J46" s="243">
        <f t="shared" si="0"/>
        <v>0</v>
      </c>
      <c r="K46" s="243">
        <f t="shared" si="0"/>
        <v>0</v>
      </c>
      <c r="L46" s="243">
        <f t="shared" si="0"/>
        <v>0</v>
      </c>
      <c r="M46" s="243">
        <f t="shared" si="0"/>
        <v>0</v>
      </c>
    </row>
    <row r="47" spans="1:17" s="150" customFormat="1" ht="20.100000000000001" customHeight="1">
      <c r="A47" s="161" t="s">
        <v>329</v>
      </c>
      <c r="B47" s="243">
        <f>$D$26/12</f>
        <v>0</v>
      </c>
      <c r="C47" s="243">
        <f t="shared" si="0"/>
        <v>0</v>
      </c>
      <c r="D47" s="243">
        <f t="shared" si="0"/>
        <v>0</v>
      </c>
      <c r="E47" s="243">
        <f t="shared" si="0"/>
        <v>0</v>
      </c>
      <c r="F47" s="243">
        <f t="shared" si="0"/>
        <v>0</v>
      </c>
      <c r="G47" s="243">
        <f t="shared" si="0"/>
        <v>0</v>
      </c>
      <c r="H47" s="243">
        <f t="shared" si="0"/>
        <v>0</v>
      </c>
      <c r="I47" s="243">
        <f t="shared" si="0"/>
        <v>0</v>
      </c>
      <c r="J47" s="243">
        <f t="shared" si="0"/>
        <v>0</v>
      </c>
      <c r="K47" s="243">
        <f t="shared" si="0"/>
        <v>0</v>
      </c>
      <c r="L47" s="243">
        <f t="shared" si="0"/>
        <v>0</v>
      </c>
      <c r="M47" s="243">
        <f t="shared" si="0"/>
        <v>0</v>
      </c>
    </row>
    <row r="48" spans="1:17" s="150" customFormat="1" ht="20.100000000000001" customHeight="1"/>
    <row r="49" spans="1:13" s="150" customFormat="1" ht="20.100000000000001" customHeight="1">
      <c r="A49" s="161" t="s">
        <v>327</v>
      </c>
      <c r="B49" s="162">
        <v>13</v>
      </c>
      <c r="C49" s="162">
        <v>14</v>
      </c>
      <c r="D49" s="162">
        <v>15</v>
      </c>
      <c r="E49" s="162">
        <v>16</v>
      </c>
      <c r="F49" s="162">
        <v>17</v>
      </c>
      <c r="G49" s="162">
        <v>18</v>
      </c>
      <c r="H49" s="162">
        <v>19</v>
      </c>
      <c r="I49" s="162">
        <v>20</v>
      </c>
      <c r="J49" s="162">
        <v>21</v>
      </c>
      <c r="K49" s="162">
        <v>22</v>
      </c>
      <c r="L49" s="162">
        <v>23</v>
      </c>
      <c r="M49" s="162">
        <v>24</v>
      </c>
    </row>
    <row r="50" spans="1:13" s="150" customFormat="1" ht="20.100000000000001" customHeight="1">
      <c r="A50" s="161" t="s">
        <v>328</v>
      </c>
      <c r="B50" s="243">
        <f>$D$26/12</f>
        <v>0</v>
      </c>
      <c r="C50" s="243">
        <f t="shared" ref="C50:M51" si="1">$D$26/12</f>
        <v>0</v>
      </c>
      <c r="D50" s="243">
        <f t="shared" si="1"/>
        <v>0</v>
      </c>
      <c r="E50" s="243">
        <f t="shared" si="1"/>
        <v>0</v>
      </c>
      <c r="F50" s="243">
        <f t="shared" si="1"/>
        <v>0</v>
      </c>
      <c r="G50" s="243">
        <f t="shared" si="1"/>
        <v>0</v>
      </c>
      <c r="H50" s="243">
        <f t="shared" si="1"/>
        <v>0</v>
      </c>
      <c r="I50" s="243">
        <f t="shared" si="1"/>
        <v>0</v>
      </c>
      <c r="J50" s="243">
        <f t="shared" si="1"/>
        <v>0</v>
      </c>
      <c r="K50" s="243">
        <f t="shared" si="1"/>
        <v>0</v>
      </c>
      <c r="L50" s="243">
        <f t="shared" si="1"/>
        <v>0</v>
      </c>
      <c r="M50" s="243">
        <f t="shared" si="1"/>
        <v>0</v>
      </c>
    </row>
    <row r="51" spans="1:13" s="150" customFormat="1" ht="20.100000000000001" customHeight="1">
      <c r="A51" s="161" t="s">
        <v>329</v>
      </c>
      <c r="B51" s="243">
        <f>$D$26/12</f>
        <v>0</v>
      </c>
      <c r="C51" s="243">
        <f t="shared" si="1"/>
        <v>0</v>
      </c>
      <c r="D51" s="243">
        <f t="shared" si="1"/>
        <v>0</v>
      </c>
      <c r="E51" s="243">
        <f t="shared" si="1"/>
        <v>0</v>
      </c>
      <c r="F51" s="243">
        <f t="shared" si="1"/>
        <v>0</v>
      </c>
      <c r="G51" s="243">
        <f t="shared" si="1"/>
        <v>0</v>
      </c>
      <c r="H51" s="243">
        <f t="shared" si="1"/>
        <v>0</v>
      </c>
      <c r="I51" s="243">
        <f t="shared" si="1"/>
        <v>0</v>
      </c>
      <c r="J51" s="243">
        <f t="shared" si="1"/>
        <v>0</v>
      </c>
      <c r="K51" s="243">
        <f t="shared" si="1"/>
        <v>0</v>
      </c>
      <c r="L51" s="243">
        <f t="shared" si="1"/>
        <v>0</v>
      </c>
      <c r="M51" s="243">
        <f t="shared" si="1"/>
        <v>0</v>
      </c>
    </row>
    <row r="52" spans="1:13" s="150" customFormat="1" ht="20.100000000000001" customHeight="1"/>
    <row r="53" spans="1:13" s="150" customFormat="1" ht="20.100000000000001" customHeight="1">
      <c r="A53" s="161" t="s">
        <v>327</v>
      </c>
      <c r="B53" s="162">
        <v>25</v>
      </c>
      <c r="C53" s="162">
        <v>26</v>
      </c>
      <c r="D53" s="162">
        <v>27</v>
      </c>
      <c r="E53" s="162">
        <v>28</v>
      </c>
      <c r="F53" s="162">
        <v>29</v>
      </c>
      <c r="G53" s="162">
        <v>30</v>
      </c>
      <c r="H53" s="162">
        <v>31</v>
      </c>
      <c r="I53" s="162">
        <v>32</v>
      </c>
      <c r="J53" s="162">
        <v>33</v>
      </c>
      <c r="K53" s="162">
        <v>34</v>
      </c>
      <c r="L53" s="162">
        <v>35</v>
      </c>
      <c r="M53" s="162">
        <v>36</v>
      </c>
    </row>
    <row r="54" spans="1:13" s="150" customFormat="1" ht="20.100000000000001" customHeight="1">
      <c r="A54" s="161" t="s">
        <v>328</v>
      </c>
      <c r="B54" s="243">
        <f>$D$26/12</f>
        <v>0</v>
      </c>
      <c r="C54" s="243">
        <f t="shared" ref="C54:M55" si="2">$D$26/12</f>
        <v>0</v>
      </c>
      <c r="D54" s="243">
        <f t="shared" si="2"/>
        <v>0</v>
      </c>
      <c r="E54" s="243">
        <f t="shared" si="2"/>
        <v>0</v>
      </c>
      <c r="F54" s="243">
        <f t="shared" si="2"/>
        <v>0</v>
      </c>
      <c r="G54" s="243">
        <f t="shared" si="2"/>
        <v>0</v>
      </c>
      <c r="H54" s="562"/>
      <c r="I54" s="562"/>
      <c r="J54" s="562"/>
      <c r="K54" s="562"/>
      <c r="L54" s="562"/>
      <c r="M54" s="562"/>
    </row>
    <row r="55" spans="1:13" s="150" customFormat="1" ht="20.100000000000001" customHeight="1">
      <c r="A55" s="161" t="s">
        <v>329</v>
      </c>
      <c r="B55" s="243">
        <f>$D$26/12</f>
        <v>0</v>
      </c>
      <c r="C55" s="243">
        <f t="shared" si="2"/>
        <v>0</v>
      </c>
      <c r="D55" s="243">
        <f t="shared" si="2"/>
        <v>0</v>
      </c>
      <c r="E55" s="243">
        <f t="shared" si="2"/>
        <v>0</v>
      </c>
      <c r="F55" s="243">
        <f t="shared" si="2"/>
        <v>0</v>
      </c>
      <c r="G55" s="243">
        <f t="shared" si="2"/>
        <v>0</v>
      </c>
      <c r="H55" s="243">
        <f t="shared" si="2"/>
        <v>0</v>
      </c>
      <c r="I55" s="243">
        <f t="shared" si="2"/>
        <v>0</v>
      </c>
      <c r="J55" s="243">
        <f t="shared" si="2"/>
        <v>0</v>
      </c>
      <c r="K55" s="243">
        <f t="shared" si="2"/>
        <v>0</v>
      </c>
      <c r="L55" s="243">
        <f>H26/1000000</f>
        <v>40</v>
      </c>
      <c r="M55" s="243">
        <f t="shared" si="2"/>
        <v>0</v>
      </c>
    </row>
    <row r="56" spans="1:13" s="150" customFormat="1" ht="20.100000000000001" customHeight="1">
      <c r="A56" s="922" t="s">
        <v>701</v>
      </c>
      <c r="B56" s="922"/>
      <c r="C56" s="922"/>
      <c r="D56" s="563">
        <f>L55</f>
        <v>40</v>
      </c>
      <c r="E56" s="923" t="s">
        <v>702</v>
      </c>
      <c r="F56" s="923"/>
    </row>
    <row r="57" spans="1:13" s="150" customFormat="1" ht="20.100000000000001" customHeight="1">
      <c r="A57" s="161" t="s">
        <v>327</v>
      </c>
      <c r="B57" s="162">
        <v>37</v>
      </c>
      <c r="C57" s="162">
        <v>38</v>
      </c>
      <c r="D57" s="162">
        <v>39</v>
      </c>
      <c r="E57" s="162">
        <v>40</v>
      </c>
      <c r="F57" s="162">
        <v>41</v>
      </c>
      <c r="G57" s="162">
        <v>42</v>
      </c>
      <c r="H57" s="162">
        <v>43</v>
      </c>
      <c r="I57" s="162">
        <v>44</v>
      </c>
      <c r="J57" s="162">
        <v>45</v>
      </c>
      <c r="K57" s="162">
        <v>46</v>
      </c>
      <c r="L57" s="162">
        <v>47</v>
      </c>
      <c r="M57" s="162">
        <v>48</v>
      </c>
    </row>
    <row r="58" spans="1:13" s="150" customFormat="1" ht="20.100000000000001" customHeight="1">
      <c r="A58" s="161" t="s">
        <v>328</v>
      </c>
      <c r="B58" s="243">
        <f>$D$26/12</f>
        <v>0</v>
      </c>
      <c r="C58" s="243">
        <f t="shared" ref="C58:M59" si="3">$D$26/12</f>
        <v>0</v>
      </c>
      <c r="D58" s="243">
        <f t="shared" si="3"/>
        <v>0</v>
      </c>
      <c r="E58" s="243">
        <f t="shared" si="3"/>
        <v>0</v>
      </c>
      <c r="F58" s="243">
        <f t="shared" si="3"/>
        <v>0</v>
      </c>
      <c r="G58" s="243">
        <f t="shared" si="3"/>
        <v>0</v>
      </c>
      <c r="H58" s="243">
        <f t="shared" si="3"/>
        <v>0</v>
      </c>
      <c r="I58" s="243">
        <f t="shared" si="3"/>
        <v>0</v>
      </c>
      <c r="J58" s="243">
        <f t="shared" si="3"/>
        <v>0</v>
      </c>
      <c r="K58" s="243">
        <f t="shared" si="3"/>
        <v>0</v>
      </c>
      <c r="L58" s="243">
        <f t="shared" si="3"/>
        <v>0</v>
      </c>
      <c r="M58" s="243">
        <f t="shared" si="3"/>
        <v>0</v>
      </c>
    </row>
    <row r="59" spans="1:13" s="150" customFormat="1" ht="20.100000000000001" customHeight="1">
      <c r="A59" s="161" t="s">
        <v>329</v>
      </c>
      <c r="B59" s="243">
        <f>$D$26/12</f>
        <v>0</v>
      </c>
      <c r="C59" s="243">
        <f t="shared" si="3"/>
        <v>0</v>
      </c>
      <c r="D59" s="243">
        <f t="shared" si="3"/>
        <v>0</v>
      </c>
      <c r="E59" s="243">
        <f t="shared" si="3"/>
        <v>0</v>
      </c>
      <c r="F59" s="243">
        <f t="shared" si="3"/>
        <v>0</v>
      </c>
      <c r="G59" s="243">
        <f t="shared" si="3"/>
        <v>0</v>
      </c>
      <c r="H59" s="243">
        <f t="shared" si="3"/>
        <v>0</v>
      </c>
      <c r="I59" s="243">
        <f t="shared" si="3"/>
        <v>0</v>
      </c>
      <c r="J59" s="243">
        <f t="shared" si="3"/>
        <v>0</v>
      </c>
      <c r="K59" s="243">
        <f t="shared" si="3"/>
        <v>0</v>
      </c>
      <c r="L59" s="243">
        <f t="shared" si="3"/>
        <v>0</v>
      </c>
      <c r="M59" s="243">
        <f t="shared" si="3"/>
        <v>0</v>
      </c>
    </row>
    <row r="60" spans="1:13" s="150" customFormat="1" ht="20.100000000000001" customHeight="1"/>
    <row r="61" spans="1:13" s="150" customFormat="1" ht="20.100000000000001" customHeight="1">
      <c r="A61" s="161" t="s">
        <v>327</v>
      </c>
      <c r="B61" s="162">
        <v>49</v>
      </c>
      <c r="C61" s="162">
        <v>50</v>
      </c>
      <c r="D61" s="162">
        <v>51</v>
      </c>
      <c r="E61" s="162">
        <v>52</v>
      </c>
      <c r="F61" s="162">
        <v>53</v>
      </c>
      <c r="G61" s="162">
        <v>54</v>
      </c>
      <c r="H61" s="162">
        <v>55</v>
      </c>
      <c r="I61" s="162">
        <v>56</v>
      </c>
      <c r="J61" s="162">
        <v>57</v>
      </c>
      <c r="K61" s="162">
        <v>58</v>
      </c>
      <c r="L61" s="162">
        <v>59</v>
      </c>
      <c r="M61" s="162">
        <v>60</v>
      </c>
    </row>
    <row r="62" spans="1:13" s="150" customFormat="1" ht="20.100000000000001" customHeight="1">
      <c r="A62" s="161" t="s">
        <v>328</v>
      </c>
      <c r="B62" s="243">
        <f>$D$26/12</f>
        <v>0</v>
      </c>
      <c r="C62" s="243">
        <f t="shared" ref="C62:M63" si="4">$D$26/12</f>
        <v>0</v>
      </c>
      <c r="D62" s="243">
        <f t="shared" si="4"/>
        <v>0</v>
      </c>
      <c r="E62" s="243">
        <f t="shared" si="4"/>
        <v>0</v>
      </c>
      <c r="F62" s="243">
        <f t="shared" si="4"/>
        <v>0</v>
      </c>
      <c r="G62" s="243">
        <f t="shared" si="4"/>
        <v>0</v>
      </c>
      <c r="H62" s="243">
        <f t="shared" si="4"/>
        <v>0</v>
      </c>
      <c r="I62" s="243">
        <f t="shared" si="4"/>
        <v>0</v>
      </c>
      <c r="J62" s="243">
        <f t="shared" si="4"/>
        <v>0</v>
      </c>
      <c r="K62" s="243">
        <f t="shared" si="4"/>
        <v>0</v>
      </c>
      <c r="L62" s="243">
        <f t="shared" si="4"/>
        <v>0</v>
      </c>
      <c r="M62" s="243">
        <f t="shared" si="4"/>
        <v>0</v>
      </c>
    </row>
    <row r="63" spans="1:13" s="150" customFormat="1" ht="20.100000000000001" customHeight="1">
      <c r="A63" s="161" t="s">
        <v>329</v>
      </c>
      <c r="B63" s="243">
        <f>$D$26/12</f>
        <v>0</v>
      </c>
      <c r="C63" s="243">
        <f t="shared" si="4"/>
        <v>0</v>
      </c>
      <c r="D63" s="243">
        <f t="shared" si="4"/>
        <v>0</v>
      </c>
      <c r="E63" s="243">
        <f t="shared" si="4"/>
        <v>0</v>
      </c>
      <c r="F63" s="243">
        <f t="shared" si="4"/>
        <v>0</v>
      </c>
      <c r="G63" s="243">
        <f t="shared" si="4"/>
        <v>0</v>
      </c>
      <c r="H63" s="243">
        <f t="shared" si="4"/>
        <v>0</v>
      </c>
      <c r="I63" s="243">
        <f t="shared" si="4"/>
        <v>0</v>
      </c>
      <c r="J63" s="243">
        <f t="shared" si="4"/>
        <v>0</v>
      </c>
      <c r="K63" s="243">
        <f t="shared" si="4"/>
        <v>0</v>
      </c>
      <c r="L63" s="243">
        <f t="shared" si="4"/>
        <v>0</v>
      </c>
      <c r="M63" s="243">
        <f t="shared" si="4"/>
        <v>0</v>
      </c>
    </row>
    <row r="64" spans="1:13" s="150" customFormat="1" ht="20.100000000000001" customHeight="1"/>
    <row r="65" s="150" customFormat="1" ht="20.100000000000001" customHeight="1"/>
  </sheetData>
  <mergeCells count="69">
    <mergeCell ref="A12:C12"/>
    <mergeCell ref="D12:M12"/>
    <mergeCell ref="A1:M1"/>
    <mergeCell ref="D3:M3"/>
    <mergeCell ref="A4:C4"/>
    <mergeCell ref="D4:M4"/>
    <mergeCell ref="D6:M6"/>
    <mergeCell ref="A7:C7"/>
    <mergeCell ref="D7:M7"/>
    <mergeCell ref="A8:C8"/>
    <mergeCell ref="D8:M8"/>
    <mergeCell ref="A9:C9"/>
    <mergeCell ref="D9:M9"/>
    <mergeCell ref="D11:M11"/>
    <mergeCell ref="A13:C13"/>
    <mergeCell ref="D13:M13"/>
    <mergeCell ref="A14:C14"/>
    <mergeCell ref="D14:M14"/>
    <mergeCell ref="A15:C15"/>
    <mergeCell ref="D15:M15"/>
    <mergeCell ref="A16:C16"/>
    <mergeCell ref="D16:M16"/>
    <mergeCell ref="A17:C17"/>
    <mergeCell ref="D17:M17"/>
    <mergeCell ref="A18:C18"/>
    <mergeCell ref="D18:M18"/>
    <mergeCell ref="A19:C19"/>
    <mergeCell ref="D19:M19"/>
    <mergeCell ref="A20:C20"/>
    <mergeCell ref="D20:M20"/>
    <mergeCell ref="B22:C22"/>
    <mergeCell ref="D22:E22"/>
    <mergeCell ref="F22:G22"/>
    <mergeCell ref="H22:I22"/>
    <mergeCell ref="J22:K22"/>
    <mergeCell ref="L22:M22"/>
    <mergeCell ref="L25:M25"/>
    <mergeCell ref="B23:C23"/>
    <mergeCell ref="D23:E23"/>
    <mergeCell ref="F23:G23"/>
    <mergeCell ref="H23:I23"/>
    <mergeCell ref="J23:K23"/>
    <mergeCell ref="L23:M23"/>
    <mergeCell ref="B25:C25"/>
    <mergeCell ref="D25:E25"/>
    <mergeCell ref="F25:G25"/>
    <mergeCell ref="H25:I25"/>
    <mergeCell ref="J25:K25"/>
    <mergeCell ref="D36:M36"/>
    <mergeCell ref="B26:C26"/>
    <mergeCell ref="D26:E26"/>
    <mergeCell ref="F26:G26"/>
    <mergeCell ref="H26:I26"/>
    <mergeCell ref="J26:K26"/>
    <mergeCell ref="L26:M26"/>
    <mergeCell ref="A28:M28"/>
    <mergeCell ref="A31:M31"/>
    <mergeCell ref="D33:M33"/>
    <mergeCell ref="D34:M34"/>
    <mergeCell ref="D35:M35"/>
    <mergeCell ref="D42:M42"/>
    <mergeCell ref="C43:M43"/>
    <mergeCell ref="A56:C56"/>
    <mergeCell ref="E56:F56"/>
    <mergeCell ref="A37:B37"/>
    <mergeCell ref="A38:B38"/>
    <mergeCell ref="C38:M38"/>
    <mergeCell ref="A41:B41"/>
    <mergeCell ref="C41:M41"/>
  </mergeCells>
  <printOptions horizontalCentered="1"/>
  <pageMargins left="0.51181102362204722" right="0.51181102362204722" top="0.78740157480314965" bottom="0.78740157480314965" header="0.31496062992125984" footer="0.31496062992125984"/>
  <pageSetup paperSize="9" scale="93" orientation="portrait" r:id="rId1"/>
  <headerFooter>
    <oddFooter>&amp;L&amp;F&amp;C&amp;A&amp;R&amp;P/&amp;N</oddFooter>
  </headerFooter>
  <ignoredErrors>
    <ignoredError sqref="L55"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65"/>
  <sheetViews>
    <sheetView workbookViewId="0">
      <selection activeCell="E40" sqref="E40"/>
    </sheetView>
  </sheetViews>
  <sheetFormatPr defaultRowHeight="15"/>
  <cols>
    <col min="1" max="1" width="10.125" style="130" customWidth="1"/>
    <col min="2" max="13" width="6.625" style="130" customWidth="1"/>
    <col min="14" max="17" width="9" style="130"/>
    <col min="18" max="18" width="43.25" style="130" customWidth="1"/>
    <col min="19" max="16384" width="9" style="130"/>
  </cols>
  <sheetData>
    <row r="1" spans="1:13" s="129" customFormat="1" ht="39.950000000000003" customHeight="1">
      <c r="A1" s="804" t="s">
        <v>673</v>
      </c>
      <c r="B1" s="804"/>
      <c r="C1" s="804"/>
      <c r="D1" s="804"/>
      <c r="E1" s="804"/>
      <c r="F1" s="804"/>
      <c r="G1" s="804"/>
      <c r="H1" s="804"/>
      <c r="I1" s="804"/>
      <c r="J1" s="804"/>
      <c r="K1" s="804"/>
      <c r="L1" s="804"/>
      <c r="M1" s="804"/>
    </row>
    <row r="3" spans="1:13" ht="20.100000000000001" customHeight="1">
      <c r="A3" s="132" t="s">
        <v>190</v>
      </c>
      <c r="B3" s="152"/>
      <c r="C3" s="133">
        <v>1</v>
      </c>
      <c r="D3" s="901" t="s">
        <v>312</v>
      </c>
      <c r="E3" s="902"/>
      <c r="F3" s="902"/>
      <c r="G3" s="902"/>
      <c r="H3" s="902"/>
      <c r="I3" s="902"/>
      <c r="J3" s="902"/>
      <c r="K3" s="902"/>
      <c r="L3" s="902"/>
      <c r="M3" s="903"/>
    </row>
    <row r="4" spans="1:13" ht="45" customHeight="1">
      <c r="A4" s="896" t="s">
        <v>294</v>
      </c>
      <c r="B4" s="896"/>
      <c r="C4" s="896"/>
      <c r="D4" s="897" t="s">
        <v>286</v>
      </c>
      <c r="E4" s="897"/>
      <c r="F4" s="897"/>
      <c r="G4" s="897"/>
      <c r="H4" s="897"/>
      <c r="I4" s="897"/>
      <c r="J4" s="897"/>
      <c r="K4" s="897"/>
      <c r="L4" s="897"/>
      <c r="M4" s="897"/>
    </row>
    <row r="6" spans="1:13" ht="20.100000000000001" customHeight="1">
      <c r="A6" s="132" t="s">
        <v>192</v>
      </c>
      <c r="B6" s="152"/>
      <c r="C6" s="133">
        <v>8</v>
      </c>
      <c r="D6" s="904" t="s">
        <v>467</v>
      </c>
      <c r="E6" s="905"/>
      <c r="F6" s="905"/>
      <c r="G6" s="905"/>
      <c r="H6" s="905"/>
      <c r="I6" s="905"/>
      <c r="J6" s="905"/>
      <c r="K6" s="905"/>
      <c r="L6" s="905"/>
      <c r="M6" s="906"/>
    </row>
    <row r="7" spans="1:13" ht="45" customHeight="1">
      <c r="A7" s="896" t="s">
        <v>291</v>
      </c>
      <c r="B7" s="896"/>
      <c r="C7" s="896"/>
      <c r="D7" s="897" t="s">
        <v>660</v>
      </c>
      <c r="E7" s="897"/>
      <c r="F7" s="897"/>
      <c r="G7" s="897"/>
      <c r="H7" s="897"/>
      <c r="I7" s="897"/>
      <c r="J7" s="897"/>
      <c r="K7" s="897"/>
      <c r="L7" s="897"/>
      <c r="M7" s="897"/>
    </row>
    <row r="8" spans="1:13" ht="64.5" customHeight="1">
      <c r="A8" s="896" t="s">
        <v>293</v>
      </c>
      <c r="B8" s="896"/>
      <c r="C8" s="896"/>
      <c r="D8" s="897" t="s">
        <v>661</v>
      </c>
      <c r="E8" s="897"/>
      <c r="F8" s="897"/>
      <c r="G8" s="897"/>
      <c r="H8" s="897"/>
      <c r="I8" s="897"/>
      <c r="J8" s="897"/>
      <c r="K8" s="897"/>
      <c r="L8" s="897"/>
      <c r="M8" s="897"/>
    </row>
    <row r="9" spans="1:13" ht="30" customHeight="1">
      <c r="A9" s="896" t="s">
        <v>292</v>
      </c>
      <c r="B9" s="896"/>
      <c r="C9" s="896"/>
      <c r="D9" s="897" t="s">
        <v>662</v>
      </c>
      <c r="E9" s="897"/>
      <c r="F9" s="897"/>
      <c r="G9" s="897"/>
      <c r="H9" s="897"/>
      <c r="I9" s="897"/>
      <c r="J9" s="897"/>
      <c r="K9" s="897"/>
      <c r="L9" s="897"/>
      <c r="M9" s="897"/>
    </row>
    <row r="11" spans="1:13" ht="30" customHeight="1">
      <c r="A11" s="132" t="s">
        <v>193</v>
      </c>
      <c r="B11" s="152"/>
      <c r="C11" s="133">
        <v>4</v>
      </c>
      <c r="D11" s="907" t="s">
        <v>475</v>
      </c>
      <c r="E11" s="908"/>
      <c r="F11" s="908"/>
      <c r="G11" s="908"/>
      <c r="H11" s="908"/>
      <c r="I11" s="908"/>
      <c r="J11" s="908"/>
      <c r="K11" s="908"/>
      <c r="L11" s="908"/>
      <c r="M11" s="909"/>
    </row>
    <row r="12" spans="1:13" s="150" customFormat="1" ht="20.100000000000001" customHeight="1">
      <c r="A12" s="898" t="s">
        <v>308</v>
      </c>
      <c r="B12" s="899"/>
      <c r="C12" s="900"/>
      <c r="D12" s="897" t="s">
        <v>474</v>
      </c>
      <c r="E12" s="897"/>
      <c r="F12" s="897"/>
      <c r="G12" s="897"/>
      <c r="H12" s="897"/>
      <c r="I12" s="897"/>
      <c r="J12" s="897"/>
      <c r="K12" s="897"/>
      <c r="L12" s="897"/>
      <c r="M12" s="897"/>
    </row>
    <row r="13" spans="1:13" ht="30" customHeight="1">
      <c r="A13" s="896" t="s">
        <v>296</v>
      </c>
      <c r="B13" s="896"/>
      <c r="C13" s="896"/>
      <c r="D13" s="897" t="s">
        <v>672</v>
      </c>
      <c r="E13" s="897"/>
      <c r="F13" s="897"/>
      <c r="G13" s="897"/>
      <c r="H13" s="897"/>
      <c r="I13" s="897"/>
      <c r="J13" s="897"/>
      <c r="K13" s="897"/>
      <c r="L13" s="897"/>
      <c r="M13" s="897"/>
    </row>
    <row r="14" spans="1:13" ht="20.100000000000001" customHeight="1">
      <c r="A14" s="896" t="s">
        <v>311</v>
      </c>
      <c r="B14" s="896"/>
      <c r="C14" s="896"/>
      <c r="D14" s="897" t="s">
        <v>671</v>
      </c>
      <c r="E14" s="897"/>
      <c r="F14" s="897"/>
      <c r="G14" s="897"/>
      <c r="H14" s="897"/>
      <c r="I14" s="897"/>
      <c r="J14" s="897"/>
      <c r="K14" s="897"/>
      <c r="L14" s="897"/>
      <c r="M14" s="897"/>
    </row>
    <row r="15" spans="1:13" s="150" customFormat="1" ht="20.100000000000001" customHeight="1">
      <c r="A15" s="898" t="s">
        <v>305</v>
      </c>
      <c r="B15" s="899"/>
      <c r="C15" s="900"/>
      <c r="D15" s="897" t="s">
        <v>304</v>
      </c>
      <c r="E15" s="897"/>
      <c r="F15" s="897"/>
      <c r="G15" s="897"/>
      <c r="H15" s="897"/>
      <c r="I15" s="897"/>
      <c r="J15" s="897"/>
      <c r="K15" s="897"/>
      <c r="L15" s="897"/>
      <c r="M15" s="897"/>
    </row>
    <row r="16" spans="1:13" ht="45" customHeight="1">
      <c r="A16" s="896" t="s">
        <v>297</v>
      </c>
      <c r="B16" s="896"/>
      <c r="C16" s="896"/>
      <c r="D16" s="897" t="s">
        <v>674</v>
      </c>
      <c r="E16" s="897"/>
      <c r="F16" s="897"/>
      <c r="G16" s="897"/>
      <c r="H16" s="897"/>
      <c r="I16" s="897"/>
      <c r="J16" s="897"/>
      <c r="K16" s="897"/>
      <c r="L16" s="897"/>
      <c r="M16" s="897"/>
    </row>
    <row r="17" spans="1:13" ht="60" customHeight="1">
      <c r="A17" s="896" t="s">
        <v>299</v>
      </c>
      <c r="B17" s="896"/>
      <c r="C17" s="896"/>
      <c r="D17" s="897" t="s">
        <v>675</v>
      </c>
      <c r="E17" s="897"/>
      <c r="F17" s="897"/>
      <c r="G17" s="897"/>
      <c r="H17" s="897"/>
      <c r="I17" s="897"/>
      <c r="J17" s="897"/>
      <c r="K17" s="897"/>
      <c r="L17" s="897"/>
      <c r="M17" s="897"/>
    </row>
    <row r="18" spans="1:13" ht="30" customHeight="1">
      <c r="A18" s="896" t="s">
        <v>292</v>
      </c>
      <c r="B18" s="896"/>
      <c r="C18" s="896"/>
      <c r="D18" s="897" t="s">
        <v>676</v>
      </c>
      <c r="E18" s="897"/>
      <c r="F18" s="897"/>
      <c r="G18" s="897"/>
      <c r="H18" s="897"/>
      <c r="I18" s="897"/>
      <c r="J18" s="897"/>
      <c r="K18" s="897"/>
      <c r="L18" s="897"/>
      <c r="M18" s="897"/>
    </row>
    <row r="19" spans="1:13" ht="20.100000000000001" customHeight="1">
      <c r="A19" s="896" t="s">
        <v>302</v>
      </c>
      <c r="B19" s="896"/>
      <c r="C19" s="896"/>
      <c r="D19" s="897" t="s">
        <v>678</v>
      </c>
      <c r="E19" s="897"/>
      <c r="F19" s="897"/>
      <c r="G19" s="897"/>
      <c r="H19" s="897"/>
      <c r="I19" s="897"/>
      <c r="J19" s="897"/>
      <c r="K19" s="897"/>
      <c r="L19" s="897"/>
      <c r="M19" s="897"/>
    </row>
    <row r="20" spans="1:13" ht="20.100000000000001" customHeight="1">
      <c r="A20" s="896" t="s">
        <v>303</v>
      </c>
      <c r="B20" s="896"/>
      <c r="C20" s="896"/>
      <c r="D20" s="897" t="s">
        <v>224</v>
      </c>
      <c r="E20" s="897"/>
      <c r="F20" s="897"/>
      <c r="G20" s="897"/>
      <c r="H20" s="897"/>
      <c r="I20" s="897"/>
      <c r="J20" s="897"/>
      <c r="K20" s="897"/>
      <c r="L20" s="897"/>
      <c r="M20" s="897"/>
    </row>
    <row r="21" spans="1:13" ht="20.100000000000001" customHeight="1"/>
    <row r="22" spans="1:13" ht="20.100000000000001" customHeight="1">
      <c r="A22" s="151" t="s">
        <v>339</v>
      </c>
      <c r="B22" s="894" t="s">
        <v>313</v>
      </c>
      <c r="C22" s="895"/>
      <c r="D22" s="893">
        <v>2021</v>
      </c>
      <c r="E22" s="893"/>
      <c r="F22" s="893">
        <v>2022</v>
      </c>
      <c r="G22" s="893"/>
      <c r="H22" s="893">
        <v>2023</v>
      </c>
      <c r="I22" s="893"/>
      <c r="J22" s="893">
        <v>2024</v>
      </c>
      <c r="K22" s="893"/>
      <c r="L22" s="893">
        <v>2025</v>
      </c>
      <c r="M22" s="893"/>
    </row>
    <row r="23" spans="1:13" ht="20.100000000000001" customHeight="1">
      <c r="A23" s="134" t="str">
        <f>D12</f>
        <v>1.8.4</v>
      </c>
      <c r="B23" s="886">
        <f>D23+F23+H23+J23+L23</f>
        <v>5</v>
      </c>
      <c r="C23" s="890"/>
      <c r="D23" s="886">
        <v>1</v>
      </c>
      <c r="E23" s="887">
        <f>('Escola de projetos'!$F$12+('Escola de projetos'!$F$23/3)+('Escola de projetos'!$F$28/3))/12</f>
        <v>30788.952596626321</v>
      </c>
      <c r="F23" s="886">
        <v>1</v>
      </c>
      <c r="G23" s="887"/>
      <c r="H23" s="886">
        <v>1</v>
      </c>
      <c r="I23" s="887"/>
      <c r="J23" s="886">
        <v>1</v>
      </c>
      <c r="K23" s="887"/>
      <c r="L23" s="886">
        <v>1</v>
      </c>
      <c r="M23" s="887"/>
    </row>
    <row r="24" spans="1:13" ht="20.100000000000001" customHeight="1"/>
    <row r="25" spans="1:13" ht="20.100000000000001" customHeight="1">
      <c r="A25" s="151" t="s">
        <v>339</v>
      </c>
      <c r="B25" s="894" t="s">
        <v>173</v>
      </c>
      <c r="C25" s="895"/>
      <c r="D25" s="893">
        <v>2021</v>
      </c>
      <c r="E25" s="893"/>
      <c r="F25" s="893">
        <v>2022</v>
      </c>
      <c r="G25" s="893"/>
      <c r="H25" s="893">
        <v>2023</v>
      </c>
      <c r="I25" s="893"/>
      <c r="J25" s="893">
        <v>2024</v>
      </c>
      <c r="K25" s="893"/>
      <c r="L25" s="893">
        <v>2025</v>
      </c>
      <c r="M25" s="893"/>
    </row>
    <row r="26" spans="1:13" ht="20.100000000000001" customHeight="1">
      <c r="A26" s="134" t="str">
        <f>D12</f>
        <v>1.8.4</v>
      </c>
      <c r="B26" s="886">
        <f>SUM(D26:M26)</f>
        <v>2155099.5455576647</v>
      </c>
      <c r="C26" s="887"/>
      <c r="D26" s="886">
        <f>('Escola de projetos'!$F$12+('Escola de projetos'!$F$23/3)+('Escola de projetos'!$F$28/3))</f>
        <v>369467.43115951587</v>
      </c>
      <c r="E26" s="887">
        <f>('Escola de projetos'!$F$12+('Escola de projetos'!$F$23/3)+('Escola de projetos'!$F$28/3))/12</f>
        <v>30788.952596626321</v>
      </c>
      <c r="F26" s="886">
        <f>D26*(1+$A$29)</f>
        <v>384246.12840589654</v>
      </c>
      <c r="G26" s="887">
        <f>('Escola de projetos'!$F$12+('Escola de projetos'!$F$23/3)+('Escola de projetos'!$F$28/3))/12</f>
        <v>30788.952596626321</v>
      </c>
      <c r="H26" s="886">
        <f>F26*(1+$A$29)</f>
        <v>399615.97354213241</v>
      </c>
      <c r="I26" s="887">
        <f>('Escola de projetos'!$F$12+('Escola de projetos'!$F$23/3)+('Escola de projetos'!$F$28/3))/12</f>
        <v>30788.952596626321</v>
      </c>
      <c r="J26" s="886">
        <f>H26*(1+$A$29)</f>
        <v>415600.61248381773</v>
      </c>
      <c r="K26" s="887">
        <f>('Escola de projetos'!$F$12+('Escola de projetos'!$F$23/3)+('Escola de projetos'!$F$28/3))/12</f>
        <v>30788.952596626321</v>
      </c>
      <c r="L26" s="886">
        <f>J26*(1+$A$29)</f>
        <v>432224.63698317047</v>
      </c>
      <c r="M26" s="887">
        <f>('Escola de projetos'!$F$12+('Escola de projetos'!$F$23/3)+('Escola de projetos'!$F$28/3))/12</f>
        <v>30788.952596626321</v>
      </c>
    </row>
    <row r="28" spans="1:13" ht="15" customHeight="1">
      <c r="A28" s="891" t="s">
        <v>693</v>
      </c>
      <c r="B28" s="891"/>
      <c r="C28" s="891"/>
      <c r="D28" s="891"/>
      <c r="E28" s="891"/>
      <c r="F28" s="891"/>
      <c r="G28" s="891"/>
      <c r="H28" s="891"/>
      <c r="I28" s="891"/>
      <c r="J28" s="891"/>
      <c r="K28" s="891"/>
      <c r="L28" s="891"/>
      <c r="M28" s="891"/>
    </row>
    <row r="29" spans="1:13">
      <c r="A29" s="558">
        <v>0.04</v>
      </c>
      <c r="B29" s="532" t="s">
        <v>646</v>
      </c>
      <c r="C29" s="532"/>
    </row>
    <row r="31" spans="1:13" s="129" customFormat="1" ht="39.950000000000003" customHeight="1">
      <c r="A31" s="804" t="s">
        <v>341</v>
      </c>
      <c r="B31" s="804"/>
      <c r="C31" s="804"/>
      <c r="D31" s="804"/>
      <c r="E31" s="804"/>
      <c r="F31" s="804"/>
      <c r="G31" s="804"/>
      <c r="H31" s="804"/>
      <c r="I31" s="804"/>
      <c r="J31" s="804"/>
      <c r="K31" s="804"/>
      <c r="L31" s="804"/>
      <c r="M31" s="804"/>
    </row>
    <row r="33" spans="1:17" ht="30" customHeight="1">
      <c r="A33" s="155" t="str">
        <f>A3</f>
        <v>FINALIDADE</v>
      </c>
      <c r="B33" s="154"/>
      <c r="C33" s="250">
        <f>C3</f>
        <v>1</v>
      </c>
      <c r="D33" s="892" t="str">
        <f>D3</f>
        <v>Gestão de recursos hídricos</v>
      </c>
      <c r="E33" s="892"/>
      <c r="F33" s="892"/>
      <c r="G33" s="892"/>
      <c r="H33" s="892"/>
      <c r="I33" s="892"/>
      <c r="J33" s="892"/>
      <c r="K33" s="892"/>
      <c r="L33" s="892"/>
      <c r="M33" s="892"/>
    </row>
    <row r="34" spans="1:17" ht="30" customHeight="1">
      <c r="A34" s="157" t="str">
        <f>A6</f>
        <v>PROGRAMA</v>
      </c>
      <c r="B34" s="159"/>
      <c r="C34" s="167">
        <f>C6</f>
        <v>8</v>
      </c>
      <c r="D34" s="885" t="str">
        <f>D6</f>
        <v>Segurança hídrica e eventos críticos</v>
      </c>
      <c r="E34" s="885"/>
      <c r="F34" s="885"/>
      <c r="G34" s="885"/>
      <c r="H34" s="885"/>
      <c r="I34" s="885"/>
      <c r="J34" s="885"/>
      <c r="K34" s="885"/>
      <c r="L34" s="885"/>
      <c r="M34" s="885"/>
    </row>
    <row r="35" spans="1:17" ht="30" customHeight="1">
      <c r="A35" s="156" t="str">
        <f>A11</f>
        <v>AÇÃO</v>
      </c>
      <c r="B35" s="160"/>
      <c r="C35" s="167">
        <f>C11</f>
        <v>4</v>
      </c>
      <c r="D35" s="885" t="str">
        <f>D11</f>
        <v>Estudos, planos, projetos e obras para implantação, expansão ou adequação de estruturas hidráulicas para aumento da segurança hídrica</v>
      </c>
      <c r="E35" s="885"/>
      <c r="F35" s="885"/>
      <c r="G35" s="885"/>
      <c r="H35" s="885"/>
      <c r="I35" s="885"/>
      <c r="J35" s="885"/>
      <c r="K35" s="885"/>
      <c r="L35" s="885"/>
      <c r="M35" s="885"/>
    </row>
    <row r="36" spans="1:17" ht="30" customHeight="1">
      <c r="A36" s="165" t="s">
        <v>317</v>
      </c>
      <c r="B36" s="166"/>
      <c r="C36" s="167">
        <v>3</v>
      </c>
      <c r="D36" s="885" t="s">
        <v>691</v>
      </c>
      <c r="E36" s="885"/>
      <c r="F36" s="885"/>
      <c r="G36" s="885"/>
      <c r="H36" s="885"/>
      <c r="I36" s="885"/>
      <c r="J36" s="885"/>
      <c r="K36" s="885"/>
      <c r="L36" s="885"/>
      <c r="M36" s="885"/>
    </row>
    <row r="37" spans="1:17" s="150" customFormat="1" ht="30" customHeight="1">
      <c r="A37" s="878" t="s">
        <v>308</v>
      </c>
      <c r="B37" s="879"/>
      <c r="C37" s="560"/>
      <c r="D37" s="551">
        <f>C33</f>
        <v>1</v>
      </c>
      <c r="E37" s="551">
        <f>C34</f>
        <v>8</v>
      </c>
      <c r="F37" s="551">
        <f>C35</f>
        <v>4</v>
      </c>
      <c r="G37" s="551">
        <f>C36</f>
        <v>3</v>
      </c>
      <c r="H37" s="560"/>
      <c r="I37" s="560"/>
      <c r="J37" s="560"/>
      <c r="K37" s="560"/>
      <c r="L37" s="560"/>
      <c r="M37" s="561"/>
    </row>
    <row r="38" spans="1:17" s="150" customFormat="1" ht="65.25" customHeight="1">
      <c r="A38" s="880" t="s">
        <v>321</v>
      </c>
      <c r="B38" s="881"/>
      <c r="C38" s="919" t="s">
        <v>679</v>
      </c>
      <c r="D38" s="920"/>
      <c r="E38" s="920"/>
      <c r="F38" s="920"/>
      <c r="G38" s="920"/>
      <c r="H38" s="920"/>
      <c r="I38" s="920"/>
      <c r="J38" s="920"/>
      <c r="K38" s="920"/>
      <c r="L38" s="920"/>
      <c r="M38" s="921"/>
      <c r="P38" s="158"/>
      <c r="Q38" s="253"/>
    </row>
    <row r="39" spans="1:17" s="150" customFormat="1" ht="20.100000000000001" customHeight="1">
      <c r="P39" s="158"/>
    </row>
    <row r="40" spans="1:17" s="150" customFormat="1" ht="20.100000000000001" customHeight="1">
      <c r="P40" s="158"/>
    </row>
    <row r="41" spans="1:17" s="150" customFormat="1" ht="35.1" customHeight="1">
      <c r="A41" s="878" t="s">
        <v>650</v>
      </c>
      <c r="B41" s="879"/>
      <c r="C41" s="883" t="s">
        <v>692</v>
      </c>
      <c r="D41" s="883"/>
      <c r="E41" s="883"/>
      <c r="F41" s="883"/>
      <c r="G41" s="883"/>
      <c r="H41" s="883"/>
      <c r="I41" s="883"/>
      <c r="J41" s="883"/>
      <c r="K41" s="883"/>
      <c r="L41" s="883"/>
      <c r="M41" s="884"/>
      <c r="P41" s="158"/>
    </row>
    <row r="42" spans="1:17" s="150" customFormat="1" ht="20.100000000000001" customHeight="1">
      <c r="A42" s="247" t="s">
        <v>338</v>
      </c>
      <c r="B42" s="249"/>
      <c r="C42" s="551" t="s">
        <v>648</v>
      </c>
      <c r="D42" s="873" t="s">
        <v>649</v>
      </c>
      <c r="E42" s="874"/>
      <c r="F42" s="874"/>
      <c r="G42" s="874"/>
      <c r="H42" s="874"/>
      <c r="I42" s="874"/>
      <c r="J42" s="874"/>
      <c r="K42" s="874"/>
      <c r="L42" s="874"/>
      <c r="M42" s="875"/>
      <c r="P42" s="158"/>
    </row>
    <row r="43" spans="1:17" s="150" customFormat="1" ht="20.100000000000001" customHeight="1">
      <c r="A43" s="248" t="s">
        <v>340</v>
      </c>
      <c r="B43" s="246"/>
      <c r="C43" s="876" t="s">
        <v>479</v>
      </c>
      <c r="D43" s="876"/>
      <c r="E43" s="876"/>
      <c r="F43" s="876"/>
      <c r="G43" s="876"/>
      <c r="H43" s="876"/>
      <c r="I43" s="876"/>
      <c r="J43" s="876"/>
      <c r="K43" s="876"/>
      <c r="L43" s="876"/>
      <c r="M43" s="877"/>
      <c r="P43" s="158"/>
    </row>
    <row r="44" spans="1:17" s="150" customFormat="1" ht="9.9499999999999993" customHeight="1">
      <c r="P44" s="158"/>
    </row>
    <row r="45" spans="1:17" s="150" customFormat="1" ht="20.100000000000001" customHeight="1">
      <c r="A45" s="161" t="s">
        <v>327</v>
      </c>
      <c r="B45" s="162">
        <v>1</v>
      </c>
      <c r="C45" s="162">
        <v>2</v>
      </c>
      <c r="D45" s="162">
        <v>3</v>
      </c>
      <c r="E45" s="162">
        <v>4</v>
      </c>
      <c r="F45" s="162">
        <v>5</v>
      </c>
      <c r="G45" s="162">
        <v>6</v>
      </c>
      <c r="H45" s="162">
        <v>7</v>
      </c>
      <c r="I45" s="162">
        <v>8</v>
      </c>
      <c r="J45" s="162">
        <v>9</v>
      </c>
      <c r="K45" s="162">
        <v>10</v>
      </c>
      <c r="L45" s="162">
        <v>11</v>
      </c>
      <c r="M45" s="162">
        <v>12</v>
      </c>
    </row>
    <row r="46" spans="1:17" s="150" customFormat="1" ht="20.100000000000001" customHeight="1">
      <c r="A46" s="161" t="s">
        <v>328</v>
      </c>
      <c r="B46" s="559">
        <v>8.3333333333333329E-2</v>
      </c>
      <c r="C46" s="559">
        <v>8.3333333333333329E-2</v>
      </c>
      <c r="D46" s="559">
        <v>8.3333333333333329E-2</v>
      </c>
      <c r="E46" s="559">
        <v>8.3333333333333329E-2</v>
      </c>
      <c r="F46" s="559">
        <v>8.3333333333333329E-2</v>
      </c>
      <c r="G46" s="559">
        <v>8.3333333333333329E-2</v>
      </c>
      <c r="H46" s="559">
        <v>8.3333333333333329E-2</v>
      </c>
      <c r="I46" s="559">
        <v>8.3333333333333329E-2</v>
      </c>
      <c r="J46" s="559">
        <v>8.3333333333333329E-2</v>
      </c>
      <c r="K46" s="559">
        <v>8.3333333333333329E-2</v>
      </c>
      <c r="L46" s="559">
        <v>8.3333333333333329E-2</v>
      </c>
      <c r="M46" s="559">
        <v>8.3333333333333329E-2</v>
      </c>
    </row>
    <row r="47" spans="1:17" s="150" customFormat="1" ht="20.100000000000001" customHeight="1">
      <c r="A47" s="161" t="s">
        <v>329</v>
      </c>
      <c r="B47" s="243">
        <f>$D$26/12</f>
        <v>30788.952596626321</v>
      </c>
      <c r="C47" s="243">
        <f t="shared" ref="C47:M47" si="0">$D$26/12</f>
        <v>30788.952596626321</v>
      </c>
      <c r="D47" s="243">
        <f t="shared" si="0"/>
        <v>30788.952596626321</v>
      </c>
      <c r="E47" s="243">
        <f t="shared" si="0"/>
        <v>30788.952596626321</v>
      </c>
      <c r="F47" s="243">
        <f t="shared" si="0"/>
        <v>30788.952596626321</v>
      </c>
      <c r="G47" s="243">
        <f t="shared" si="0"/>
        <v>30788.952596626321</v>
      </c>
      <c r="H47" s="243">
        <f t="shared" si="0"/>
        <v>30788.952596626321</v>
      </c>
      <c r="I47" s="243">
        <f t="shared" si="0"/>
        <v>30788.952596626321</v>
      </c>
      <c r="J47" s="243">
        <f t="shared" si="0"/>
        <v>30788.952596626321</v>
      </c>
      <c r="K47" s="243">
        <f t="shared" si="0"/>
        <v>30788.952596626321</v>
      </c>
      <c r="L47" s="243">
        <f t="shared" si="0"/>
        <v>30788.952596626321</v>
      </c>
      <c r="M47" s="243">
        <f t="shared" si="0"/>
        <v>30788.952596626321</v>
      </c>
    </row>
    <row r="48" spans="1:17" s="150" customFormat="1" ht="20.100000000000001" customHeight="1"/>
    <row r="49" spans="1:13" s="150" customFormat="1" ht="20.100000000000001" customHeight="1">
      <c r="A49" s="161" t="s">
        <v>327</v>
      </c>
      <c r="B49" s="162">
        <v>13</v>
      </c>
      <c r="C49" s="162">
        <v>14</v>
      </c>
      <c r="D49" s="162">
        <v>15</v>
      </c>
      <c r="E49" s="162">
        <v>16</v>
      </c>
      <c r="F49" s="162">
        <v>17</v>
      </c>
      <c r="G49" s="162">
        <v>18</v>
      </c>
      <c r="H49" s="162">
        <v>19</v>
      </c>
      <c r="I49" s="162">
        <v>20</v>
      </c>
      <c r="J49" s="162">
        <v>21</v>
      </c>
      <c r="K49" s="162">
        <v>22</v>
      </c>
      <c r="L49" s="162">
        <v>23</v>
      </c>
      <c r="M49" s="162">
        <v>24</v>
      </c>
    </row>
    <row r="50" spans="1:13" s="150" customFormat="1" ht="20.100000000000001" customHeight="1">
      <c r="A50" s="161" t="s">
        <v>328</v>
      </c>
      <c r="B50" s="559">
        <v>8.3333333333333329E-2</v>
      </c>
      <c r="C50" s="559">
        <v>8.3333333333333329E-2</v>
      </c>
      <c r="D50" s="559">
        <v>8.3333333333333329E-2</v>
      </c>
      <c r="E50" s="559">
        <v>8.3333333333333329E-2</v>
      </c>
      <c r="F50" s="559">
        <v>8.3333333333333329E-2</v>
      </c>
      <c r="G50" s="559">
        <v>8.3333333333333329E-2</v>
      </c>
      <c r="H50" s="559">
        <v>8.3333333333333329E-2</v>
      </c>
      <c r="I50" s="559">
        <v>8.3333333333333329E-2</v>
      </c>
      <c r="J50" s="559">
        <v>8.3333333333333329E-2</v>
      </c>
      <c r="K50" s="559">
        <v>8.3333333333333329E-2</v>
      </c>
      <c r="L50" s="559">
        <v>8.3333333333333329E-2</v>
      </c>
      <c r="M50" s="559">
        <v>8.3333333333333329E-2</v>
      </c>
    </row>
    <row r="51" spans="1:13" s="150" customFormat="1" ht="20.100000000000001" customHeight="1">
      <c r="A51" s="161" t="s">
        <v>329</v>
      </c>
      <c r="B51" s="243">
        <f>$F$26/12</f>
        <v>32020.510700491377</v>
      </c>
      <c r="C51" s="243">
        <f t="shared" ref="C51:M51" si="1">$F$26/12</f>
        <v>32020.510700491377</v>
      </c>
      <c r="D51" s="243">
        <f t="shared" si="1"/>
        <v>32020.510700491377</v>
      </c>
      <c r="E51" s="243">
        <f t="shared" si="1"/>
        <v>32020.510700491377</v>
      </c>
      <c r="F51" s="243">
        <f t="shared" si="1"/>
        <v>32020.510700491377</v>
      </c>
      <c r="G51" s="243">
        <f t="shared" si="1"/>
        <v>32020.510700491377</v>
      </c>
      <c r="H51" s="243">
        <f t="shared" si="1"/>
        <v>32020.510700491377</v>
      </c>
      <c r="I51" s="243">
        <f t="shared" si="1"/>
        <v>32020.510700491377</v>
      </c>
      <c r="J51" s="243">
        <f t="shared" si="1"/>
        <v>32020.510700491377</v>
      </c>
      <c r="K51" s="243">
        <f t="shared" si="1"/>
        <v>32020.510700491377</v>
      </c>
      <c r="L51" s="243">
        <f t="shared" si="1"/>
        <v>32020.510700491377</v>
      </c>
      <c r="M51" s="243">
        <f t="shared" si="1"/>
        <v>32020.510700491377</v>
      </c>
    </row>
    <row r="52" spans="1:13" s="150" customFormat="1" ht="20.100000000000001" customHeight="1"/>
    <row r="53" spans="1:13" s="150" customFormat="1" ht="20.100000000000001" customHeight="1">
      <c r="A53" s="161" t="s">
        <v>327</v>
      </c>
      <c r="B53" s="162">
        <v>25</v>
      </c>
      <c r="C53" s="162">
        <v>26</v>
      </c>
      <c r="D53" s="162">
        <v>27</v>
      </c>
      <c r="E53" s="162">
        <v>28</v>
      </c>
      <c r="F53" s="162">
        <v>29</v>
      </c>
      <c r="G53" s="162">
        <v>30</v>
      </c>
      <c r="H53" s="162">
        <v>31</v>
      </c>
      <c r="I53" s="162">
        <v>32</v>
      </c>
      <c r="J53" s="162">
        <v>33</v>
      </c>
      <c r="K53" s="162">
        <v>34</v>
      </c>
      <c r="L53" s="162">
        <v>35</v>
      </c>
      <c r="M53" s="162">
        <v>36</v>
      </c>
    </row>
    <row r="54" spans="1:13" s="150" customFormat="1" ht="20.100000000000001" customHeight="1">
      <c r="A54" s="161" t="s">
        <v>328</v>
      </c>
      <c r="B54" s="559">
        <v>8.3333333333333329E-2</v>
      </c>
      <c r="C54" s="559">
        <v>8.3333333333333329E-2</v>
      </c>
      <c r="D54" s="559">
        <v>8.3333333333333329E-2</v>
      </c>
      <c r="E54" s="559">
        <v>8.3333333333333329E-2</v>
      </c>
      <c r="F54" s="559">
        <v>8.3333333333333329E-2</v>
      </c>
      <c r="G54" s="559">
        <v>8.3333333333333329E-2</v>
      </c>
      <c r="H54" s="559">
        <v>8.3333333333333329E-2</v>
      </c>
      <c r="I54" s="559">
        <v>8.3333333333333329E-2</v>
      </c>
      <c r="J54" s="559">
        <v>8.3333333333333329E-2</v>
      </c>
      <c r="K54" s="559">
        <v>8.3333333333333329E-2</v>
      </c>
      <c r="L54" s="559">
        <v>8.3333333333333329E-2</v>
      </c>
      <c r="M54" s="559">
        <v>8.3333333333333329E-2</v>
      </c>
    </row>
    <row r="55" spans="1:13" s="150" customFormat="1" ht="20.100000000000001" customHeight="1">
      <c r="A55" s="161" t="s">
        <v>329</v>
      </c>
      <c r="B55" s="243">
        <f>$H$26/12</f>
        <v>33301.331128511032</v>
      </c>
      <c r="C55" s="243">
        <f t="shared" ref="C55:M55" si="2">$H$26/12</f>
        <v>33301.331128511032</v>
      </c>
      <c r="D55" s="243">
        <f t="shared" si="2"/>
        <v>33301.331128511032</v>
      </c>
      <c r="E55" s="243">
        <f t="shared" si="2"/>
        <v>33301.331128511032</v>
      </c>
      <c r="F55" s="243">
        <f t="shared" si="2"/>
        <v>33301.331128511032</v>
      </c>
      <c r="G55" s="243">
        <f t="shared" si="2"/>
        <v>33301.331128511032</v>
      </c>
      <c r="H55" s="243">
        <f t="shared" si="2"/>
        <v>33301.331128511032</v>
      </c>
      <c r="I55" s="243">
        <f t="shared" si="2"/>
        <v>33301.331128511032</v>
      </c>
      <c r="J55" s="243">
        <f t="shared" si="2"/>
        <v>33301.331128511032</v>
      </c>
      <c r="K55" s="243">
        <f t="shared" si="2"/>
        <v>33301.331128511032</v>
      </c>
      <c r="L55" s="243">
        <f t="shared" si="2"/>
        <v>33301.331128511032</v>
      </c>
      <c r="M55" s="243">
        <f t="shared" si="2"/>
        <v>33301.331128511032</v>
      </c>
    </row>
    <row r="56" spans="1:13" s="150" customFormat="1" ht="20.100000000000001" customHeight="1"/>
    <row r="57" spans="1:13" s="150" customFormat="1" ht="20.100000000000001" customHeight="1">
      <c r="A57" s="161" t="s">
        <v>327</v>
      </c>
      <c r="B57" s="162">
        <v>37</v>
      </c>
      <c r="C57" s="162">
        <v>38</v>
      </c>
      <c r="D57" s="162">
        <v>39</v>
      </c>
      <c r="E57" s="162">
        <v>40</v>
      </c>
      <c r="F57" s="162">
        <v>41</v>
      </c>
      <c r="G57" s="162">
        <v>42</v>
      </c>
      <c r="H57" s="162">
        <v>43</v>
      </c>
      <c r="I57" s="162">
        <v>44</v>
      </c>
      <c r="J57" s="162">
        <v>45</v>
      </c>
      <c r="K57" s="162">
        <v>46</v>
      </c>
      <c r="L57" s="162">
        <v>47</v>
      </c>
      <c r="M57" s="162">
        <v>48</v>
      </c>
    </row>
    <row r="58" spans="1:13" s="150" customFormat="1" ht="20.100000000000001" customHeight="1">
      <c r="A58" s="161" t="s">
        <v>328</v>
      </c>
      <c r="B58" s="559">
        <v>8.3333333333333329E-2</v>
      </c>
      <c r="C58" s="559">
        <v>8.3333333333333329E-2</v>
      </c>
      <c r="D58" s="559">
        <v>8.3333333333333329E-2</v>
      </c>
      <c r="E58" s="559">
        <v>8.3333333333333329E-2</v>
      </c>
      <c r="F58" s="559">
        <v>8.3333333333333329E-2</v>
      </c>
      <c r="G58" s="559">
        <v>8.3333333333333329E-2</v>
      </c>
      <c r="H58" s="559">
        <v>8.3333333333333329E-2</v>
      </c>
      <c r="I58" s="559">
        <v>8.3333333333333329E-2</v>
      </c>
      <c r="J58" s="559">
        <v>8.3333333333333329E-2</v>
      </c>
      <c r="K58" s="559">
        <v>8.3333333333333329E-2</v>
      </c>
      <c r="L58" s="559">
        <v>8.3333333333333329E-2</v>
      </c>
      <c r="M58" s="559">
        <v>8.3333333333333329E-2</v>
      </c>
    </row>
    <row r="59" spans="1:13" s="150" customFormat="1" ht="20.100000000000001" customHeight="1">
      <c r="A59" s="161" t="s">
        <v>329</v>
      </c>
      <c r="B59" s="243">
        <f>$J$26/12</f>
        <v>34633.384373651475</v>
      </c>
      <c r="C59" s="243">
        <f t="shared" ref="C59:M59" si="3">$J$26/12</f>
        <v>34633.384373651475</v>
      </c>
      <c r="D59" s="243">
        <f t="shared" si="3"/>
        <v>34633.384373651475</v>
      </c>
      <c r="E59" s="243">
        <f t="shared" si="3"/>
        <v>34633.384373651475</v>
      </c>
      <c r="F59" s="243">
        <f t="shared" si="3"/>
        <v>34633.384373651475</v>
      </c>
      <c r="G59" s="243">
        <f t="shared" si="3"/>
        <v>34633.384373651475</v>
      </c>
      <c r="H59" s="243">
        <f t="shared" si="3"/>
        <v>34633.384373651475</v>
      </c>
      <c r="I59" s="243">
        <f t="shared" si="3"/>
        <v>34633.384373651475</v>
      </c>
      <c r="J59" s="243">
        <f t="shared" si="3"/>
        <v>34633.384373651475</v>
      </c>
      <c r="K59" s="243">
        <f t="shared" si="3"/>
        <v>34633.384373651475</v>
      </c>
      <c r="L59" s="243">
        <f t="shared" si="3"/>
        <v>34633.384373651475</v>
      </c>
      <c r="M59" s="243">
        <f t="shared" si="3"/>
        <v>34633.384373651475</v>
      </c>
    </row>
    <row r="60" spans="1:13" s="150" customFormat="1" ht="20.100000000000001" customHeight="1"/>
    <row r="61" spans="1:13" s="150" customFormat="1" ht="20.100000000000001" customHeight="1">
      <c r="A61" s="161" t="s">
        <v>327</v>
      </c>
      <c r="B61" s="162">
        <v>49</v>
      </c>
      <c r="C61" s="162">
        <v>50</v>
      </c>
      <c r="D61" s="162">
        <v>51</v>
      </c>
      <c r="E61" s="162">
        <v>52</v>
      </c>
      <c r="F61" s="162">
        <v>53</v>
      </c>
      <c r="G61" s="162">
        <v>54</v>
      </c>
      <c r="H61" s="162">
        <v>55</v>
      </c>
      <c r="I61" s="162">
        <v>56</v>
      </c>
      <c r="J61" s="162">
        <v>57</v>
      </c>
      <c r="K61" s="162">
        <v>58</v>
      </c>
      <c r="L61" s="162">
        <v>59</v>
      </c>
      <c r="M61" s="162">
        <v>60</v>
      </c>
    </row>
    <row r="62" spans="1:13" s="150" customFormat="1" ht="20.100000000000001" customHeight="1">
      <c r="A62" s="161" t="s">
        <v>328</v>
      </c>
      <c r="B62" s="559">
        <v>8.3333333333333329E-2</v>
      </c>
      <c r="C62" s="559">
        <v>8.3333333333333329E-2</v>
      </c>
      <c r="D62" s="559">
        <v>8.3333333333333329E-2</v>
      </c>
      <c r="E62" s="559">
        <v>8.3333333333333329E-2</v>
      </c>
      <c r="F62" s="559">
        <v>8.3333333333333329E-2</v>
      </c>
      <c r="G62" s="559">
        <v>8.3333333333333329E-2</v>
      </c>
      <c r="H62" s="559">
        <v>8.3333333333333329E-2</v>
      </c>
      <c r="I62" s="559">
        <v>8.3333333333333329E-2</v>
      </c>
      <c r="J62" s="559">
        <v>8.3333333333333329E-2</v>
      </c>
      <c r="K62" s="559">
        <v>8.3333333333333329E-2</v>
      </c>
      <c r="L62" s="559">
        <v>8.3333333333333329E-2</v>
      </c>
      <c r="M62" s="559">
        <v>8.3333333333333329E-2</v>
      </c>
    </row>
    <row r="63" spans="1:13" s="150" customFormat="1" ht="20.100000000000001" customHeight="1">
      <c r="A63" s="161" t="s">
        <v>329</v>
      </c>
      <c r="B63" s="243">
        <f>$L$26/12</f>
        <v>36018.719748597541</v>
      </c>
      <c r="C63" s="243">
        <f t="shared" ref="C63:M63" si="4">$L$26/12</f>
        <v>36018.719748597541</v>
      </c>
      <c r="D63" s="243">
        <f t="shared" si="4"/>
        <v>36018.719748597541</v>
      </c>
      <c r="E63" s="243">
        <f t="shared" si="4"/>
        <v>36018.719748597541</v>
      </c>
      <c r="F63" s="243">
        <f t="shared" si="4"/>
        <v>36018.719748597541</v>
      </c>
      <c r="G63" s="243">
        <f t="shared" si="4"/>
        <v>36018.719748597541</v>
      </c>
      <c r="H63" s="243">
        <f t="shared" si="4"/>
        <v>36018.719748597541</v>
      </c>
      <c r="I63" s="243">
        <f t="shared" si="4"/>
        <v>36018.719748597541</v>
      </c>
      <c r="J63" s="243">
        <f t="shared" si="4"/>
        <v>36018.719748597541</v>
      </c>
      <c r="K63" s="243">
        <f t="shared" si="4"/>
        <v>36018.719748597541</v>
      </c>
      <c r="L63" s="243">
        <f t="shared" si="4"/>
        <v>36018.719748597541</v>
      </c>
      <c r="M63" s="243">
        <f t="shared" si="4"/>
        <v>36018.719748597541</v>
      </c>
    </row>
    <row r="64" spans="1:13" s="150" customFormat="1" ht="20.100000000000001" customHeight="1"/>
    <row r="65" s="150" customFormat="1" ht="20.100000000000001" customHeight="1"/>
  </sheetData>
  <mergeCells count="67">
    <mergeCell ref="A12:C12"/>
    <mergeCell ref="D12:M12"/>
    <mergeCell ref="A1:M1"/>
    <mergeCell ref="D3:M3"/>
    <mergeCell ref="A4:C4"/>
    <mergeCell ref="D4:M4"/>
    <mergeCell ref="D6:M6"/>
    <mergeCell ref="A7:C7"/>
    <mergeCell ref="D7:M7"/>
    <mergeCell ref="A8:C8"/>
    <mergeCell ref="D8:M8"/>
    <mergeCell ref="A9:C9"/>
    <mergeCell ref="D9:M9"/>
    <mergeCell ref="D11:M11"/>
    <mergeCell ref="A13:C13"/>
    <mergeCell ref="D13:M13"/>
    <mergeCell ref="A14:C14"/>
    <mergeCell ref="D14:M14"/>
    <mergeCell ref="A15:C15"/>
    <mergeCell ref="D15:M15"/>
    <mergeCell ref="A16:C16"/>
    <mergeCell ref="D16:M16"/>
    <mergeCell ref="A17:C17"/>
    <mergeCell ref="D17:M17"/>
    <mergeCell ref="A18:C18"/>
    <mergeCell ref="D18:M18"/>
    <mergeCell ref="A19:C19"/>
    <mergeCell ref="D19:M19"/>
    <mergeCell ref="A20:C20"/>
    <mergeCell ref="D20:M20"/>
    <mergeCell ref="B22:C22"/>
    <mergeCell ref="D22:E22"/>
    <mergeCell ref="F22:G22"/>
    <mergeCell ref="H22:I22"/>
    <mergeCell ref="J22:K22"/>
    <mergeCell ref="L22:M22"/>
    <mergeCell ref="L25:M25"/>
    <mergeCell ref="B23:C23"/>
    <mergeCell ref="D23:E23"/>
    <mergeCell ref="F23:G23"/>
    <mergeCell ref="H23:I23"/>
    <mergeCell ref="J23:K23"/>
    <mergeCell ref="L23:M23"/>
    <mergeCell ref="B25:C25"/>
    <mergeCell ref="D25:E25"/>
    <mergeCell ref="F25:G25"/>
    <mergeCell ref="H25:I25"/>
    <mergeCell ref="J25:K25"/>
    <mergeCell ref="D36:M36"/>
    <mergeCell ref="B26:C26"/>
    <mergeCell ref="D26:E26"/>
    <mergeCell ref="F26:G26"/>
    <mergeCell ref="H26:I26"/>
    <mergeCell ref="J26:K26"/>
    <mergeCell ref="L26:M26"/>
    <mergeCell ref="A28:M28"/>
    <mergeCell ref="A31:M31"/>
    <mergeCell ref="D33:M33"/>
    <mergeCell ref="D34:M34"/>
    <mergeCell ref="D35:M35"/>
    <mergeCell ref="D42:M42"/>
    <mergeCell ref="C43:M43"/>
    <mergeCell ref="A37:B37"/>
    <mergeCell ref="A38:B38"/>
    <mergeCell ref="C38:M38"/>
    <mergeCell ref="A41:B41"/>
    <mergeCell ref="C41:M41"/>
  </mergeCells>
  <printOptions horizontalCentered="1"/>
  <pageMargins left="0.51181102362204722" right="0.51181102362204722" top="0.78740157480314965" bottom="0.78740157480314965" header="0.31496062992125984" footer="0.31496062992125984"/>
  <pageSetup paperSize="9" scale="93" orientation="portrait" r:id="rId1"/>
  <headerFooter>
    <oddFooter>&amp;L&amp;F&amp;C&amp;A&amp;R&amp;P/&amp;N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65"/>
  <sheetViews>
    <sheetView topLeftCell="A49" workbookViewId="0">
      <selection activeCell="E40" sqref="E40"/>
    </sheetView>
  </sheetViews>
  <sheetFormatPr defaultRowHeight="15"/>
  <cols>
    <col min="1" max="1" width="10.125" style="130" customWidth="1"/>
    <col min="2" max="13" width="6.625" style="130" customWidth="1"/>
    <col min="14" max="17" width="9" style="130"/>
    <col min="18" max="18" width="43.25" style="130" customWidth="1"/>
    <col min="19" max="16384" width="9" style="130"/>
  </cols>
  <sheetData>
    <row r="1" spans="1:13" s="129" customFormat="1" ht="39.950000000000003" customHeight="1">
      <c r="A1" s="804" t="s">
        <v>673</v>
      </c>
      <c r="B1" s="804"/>
      <c r="C1" s="804"/>
      <c r="D1" s="804"/>
      <c r="E1" s="804"/>
      <c r="F1" s="804"/>
      <c r="G1" s="804"/>
      <c r="H1" s="804"/>
      <c r="I1" s="804"/>
      <c r="J1" s="804"/>
      <c r="K1" s="804"/>
      <c r="L1" s="804"/>
      <c r="M1" s="804"/>
    </row>
    <row r="3" spans="1:13" ht="20.100000000000001" customHeight="1">
      <c r="A3" s="132" t="s">
        <v>190</v>
      </c>
      <c r="B3" s="152"/>
      <c r="C3" s="133">
        <v>1</v>
      </c>
      <c r="D3" s="901" t="s">
        <v>312</v>
      </c>
      <c r="E3" s="902"/>
      <c r="F3" s="902"/>
      <c r="G3" s="902"/>
      <c r="H3" s="902"/>
      <c r="I3" s="902"/>
      <c r="J3" s="902"/>
      <c r="K3" s="902"/>
      <c r="L3" s="902"/>
      <c r="M3" s="903"/>
    </row>
    <row r="4" spans="1:13" ht="45" customHeight="1">
      <c r="A4" s="896" t="s">
        <v>294</v>
      </c>
      <c r="B4" s="896"/>
      <c r="C4" s="896"/>
      <c r="D4" s="897" t="s">
        <v>286</v>
      </c>
      <c r="E4" s="897"/>
      <c r="F4" s="897"/>
      <c r="G4" s="897"/>
      <c r="H4" s="897"/>
      <c r="I4" s="897"/>
      <c r="J4" s="897"/>
      <c r="K4" s="897"/>
      <c r="L4" s="897"/>
      <c r="M4" s="897"/>
    </row>
    <row r="6" spans="1:13" ht="20.100000000000001" customHeight="1">
      <c r="A6" s="132" t="s">
        <v>192</v>
      </c>
      <c r="B6" s="152"/>
      <c r="C6" s="133">
        <v>8</v>
      </c>
      <c r="D6" s="904" t="s">
        <v>467</v>
      </c>
      <c r="E6" s="905"/>
      <c r="F6" s="905"/>
      <c r="G6" s="905"/>
      <c r="H6" s="905"/>
      <c r="I6" s="905"/>
      <c r="J6" s="905"/>
      <c r="K6" s="905"/>
      <c r="L6" s="905"/>
      <c r="M6" s="906"/>
    </row>
    <row r="7" spans="1:13" ht="45" customHeight="1">
      <c r="A7" s="896" t="s">
        <v>291</v>
      </c>
      <c r="B7" s="896"/>
      <c r="C7" s="896"/>
      <c r="D7" s="897" t="s">
        <v>660</v>
      </c>
      <c r="E7" s="897"/>
      <c r="F7" s="897"/>
      <c r="G7" s="897"/>
      <c r="H7" s="897"/>
      <c r="I7" s="897"/>
      <c r="J7" s="897"/>
      <c r="K7" s="897"/>
      <c r="L7" s="897"/>
      <c r="M7" s="897"/>
    </row>
    <row r="8" spans="1:13" ht="64.5" customHeight="1">
      <c r="A8" s="896" t="s">
        <v>293</v>
      </c>
      <c r="B8" s="896"/>
      <c r="C8" s="896"/>
      <c r="D8" s="897" t="s">
        <v>661</v>
      </c>
      <c r="E8" s="897"/>
      <c r="F8" s="897"/>
      <c r="G8" s="897"/>
      <c r="H8" s="897"/>
      <c r="I8" s="897"/>
      <c r="J8" s="897"/>
      <c r="K8" s="897"/>
      <c r="L8" s="897"/>
      <c r="M8" s="897"/>
    </row>
    <row r="9" spans="1:13" ht="30" customHeight="1">
      <c r="A9" s="896" t="s">
        <v>292</v>
      </c>
      <c r="B9" s="896"/>
      <c r="C9" s="896"/>
      <c r="D9" s="897" t="s">
        <v>662</v>
      </c>
      <c r="E9" s="897"/>
      <c r="F9" s="897"/>
      <c r="G9" s="897"/>
      <c r="H9" s="897"/>
      <c r="I9" s="897"/>
      <c r="J9" s="897"/>
      <c r="K9" s="897"/>
      <c r="L9" s="897"/>
      <c r="M9" s="897"/>
    </row>
    <row r="11" spans="1:13" ht="30" customHeight="1">
      <c r="A11" s="132" t="s">
        <v>193</v>
      </c>
      <c r="B11" s="152"/>
      <c r="C11" s="133">
        <v>4</v>
      </c>
      <c r="D11" s="907" t="s">
        <v>475</v>
      </c>
      <c r="E11" s="908"/>
      <c r="F11" s="908"/>
      <c r="G11" s="908"/>
      <c r="H11" s="908"/>
      <c r="I11" s="908"/>
      <c r="J11" s="908"/>
      <c r="K11" s="908"/>
      <c r="L11" s="908"/>
      <c r="M11" s="909"/>
    </row>
    <row r="12" spans="1:13" s="150" customFormat="1" ht="20.100000000000001" customHeight="1">
      <c r="A12" s="898" t="s">
        <v>308</v>
      </c>
      <c r="B12" s="899"/>
      <c r="C12" s="900"/>
      <c r="D12" s="897" t="s">
        <v>474</v>
      </c>
      <c r="E12" s="897"/>
      <c r="F12" s="897"/>
      <c r="G12" s="897"/>
      <c r="H12" s="897"/>
      <c r="I12" s="897"/>
      <c r="J12" s="897"/>
      <c r="K12" s="897"/>
      <c r="L12" s="897"/>
      <c r="M12" s="897"/>
    </row>
    <row r="13" spans="1:13" ht="30" customHeight="1">
      <c r="A13" s="896" t="s">
        <v>296</v>
      </c>
      <c r="B13" s="896"/>
      <c r="C13" s="896"/>
      <c r="D13" s="897" t="s">
        <v>672</v>
      </c>
      <c r="E13" s="897"/>
      <c r="F13" s="897"/>
      <c r="G13" s="897"/>
      <c r="H13" s="897"/>
      <c r="I13" s="897"/>
      <c r="J13" s="897"/>
      <c r="K13" s="897"/>
      <c r="L13" s="897"/>
      <c r="M13" s="897"/>
    </row>
    <row r="14" spans="1:13" ht="20.100000000000001" customHeight="1">
      <c r="A14" s="896" t="s">
        <v>311</v>
      </c>
      <c r="B14" s="896"/>
      <c r="C14" s="896"/>
      <c r="D14" s="897" t="s">
        <v>671</v>
      </c>
      <c r="E14" s="897"/>
      <c r="F14" s="897"/>
      <c r="G14" s="897"/>
      <c r="H14" s="897"/>
      <c r="I14" s="897"/>
      <c r="J14" s="897"/>
      <c r="K14" s="897"/>
      <c r="L14" s="897"/>
      <c r="M14" s="897"/>
    </row>
    <row r="15" spans="1:13" s="150" customFormat="1" ht="20.100000000000001" customHeight="1">
      <c r="A15" s="898" t="s">
        <v>305</v>
      </c>
      <c r="B15" s="899"/>
      <c r="C15" s="900"/>
      <c r="D15" s="897" t="s">
        <v>304</v>
      </c>
      <c r="E15" s="897"/>
      <c r="F15" s="897"/>
      <c r="G15" s="897"/>
      <c r="H15" s="897"/>
      <c r="I15" s="897"/>
      <c r="J15" s="897"/>
      <c r="K15" s="897"/>
      <c r="L15" s="897"/>
      <c r="M15" s="897"/>
    </row>
    <row r="16" spans="1:13" ht="45" customHeight="1">
      <c r="A16" s="896" t="s">
        <v>297</v>
      </c>
      <c r="B16" s="896"/>
      <c r="C16" s="896"/>
      <c r="D16" s="897" t="s">
        <v>674</v>
      </c>
      <c r="E16" s="897"/>
      <c r="F16" s="897"/>
      <c r="G16" s="897"/>
      <c r="H16" s="897"/>
      <c r="I16" s="897"/>
      <c r="J16" s="897"/>
      <c r="K16" s="897"/>
      <c r="L16" s="897"/>
      <c r="M16" s="897"/>
    </row>
    <row r="17" spans="1:13" ht="60" customHeight="1">
      <c r="A17" s="896" t="s">
        <v>299</v>
      </c>
      <c r="B17" s="896"/>
      <c r="C17" s="896"/>
      <c r="D17" s="897" t="s">
        <v>675</v>
      </c>
      <c r="E17" s="897"/>
      <c r="F17" s="897"/>
      <c r="G17" s="897"/>
      <c r="H17" s="897"/>
      <c r="I17" s="897"/>
      <c r="J17" s="897"/>
      <c r="K17" s="897"/>
      <c r="L17" s="897"/>
      <c r="M17" s="897"/>
    </row>
    <row r="18" spans="1:13" ht="30" customHeight="1">
      <c r="A18" s="896" t="s">
        <v>292</v>
      </c>
      <c r="B18" s="896"/>
      <c r="C18" s="896"/>
      <c r="D18" s="897" t="s">
        <v>676</v>
      </c>
      <c r="E18" s="897"/>
      <c r="F18" s="897"/>
      <c r="G18" s="897"/>
      <c r="H18" s="897"/>
      <c r="I18" s="897"/>
      <c r="J18" s="897"/>
      <c r="K18" s="897"/>
      <c r="L18" s="897"/>
      <c r="M18" s="897"/>
    </row>
    <row r="19" spans="1:13" ht="20.100000000000001" customHeight="1">
      <c r="A19" s="896" t="s">
        <v>302</v>
      </c>
      <c r="B19" s="896"/>
      <c r="C19" s="896"/>
      <c r="D19" s="897" t="s">
        <v>678</v>
      </c>
      <c r="E19" s="897"/>
      <c r="F19" s="897"/>
      <c r="G19" s="897"/>
      <c r="H19" s="897"/>
      <c r="I19" s="897"/>
      <c r="J19" s="897"/>
      <c r="K19" s="897"/>
      <c r="L19" s="897"/>
      <c r="M19" s="897"/>
    </row>
    <row r="20" spans="1:13" ht="20.100000000000001" customHeight="1">
      <c r="A20" s="896" t="s">
        <v>303</v>
      </c>
      <c r="B20" s="896"/>
      <c r="C20" s="896"/>
      <c r="D20" s="897" t="s">
        <v>224</v>
      </c>
      <c r="E20" s="897"/>
      <c r="F20" s="897"/>
      <c r="G20" s="897"/>
      <c r="H20" s="897"/>
      <c r="I20" s="897"/>
      <c r="J20" s="897"/>
      <c r="K20" s="897"/>
      <c r="L20" s="897"/>
      <c r="M20" s="897"/>
    </row>
    <row r="21" spans="1:13" ht="20.100000000000001" customHeight="1"/>
    <row r="22" spans="1:13" ht="20.100000000000001" customHeight="1">
      <c r="A22" s="151" t="s">
        <v>339</v>
      </c>
      <c r="B22" s="894" t="s">
        <v>313</v>
      </c>
      <c r="C22" s="895"/>
      <c r="D22" s="893">
        <v>2021</v>
      </c>
      <c r="E22" s="893"/>
      <c r="F22" s="893">
        <v>2022</v>
      </c>
      <c r="G22" s="893"/>
      <c r="H22" s="893">
        <v>2023</v>
      </c>
      <c r="I22" s="893"/>
      <c r="J22" s="893">
        <v>2024</v>
      </c>
      <c r="K22" s="893"/>
      <c r="L22" s="893">
        <v>2025</v>
      </c>
      <c r="M22" s="893"/>
    </row>
    <row r="23" spans="1:13" ht="20.100000000000001" customHeight="1">
      <c r="A23" s="134" t="str">
        <f>D12</f>
        <v>1.8.4</v>
      </c>
      <c r="B23" s="889">
        <f>SUM(D23:M23)</f>
        <v>2</v>
      </c>
      <c r="C23" s="890"/>
      <c r="D23" s="886">
        <v>0</v>
      </c>
      <c r="E23" s="887"/>
      <c r="F23" s="886">
        <v>0</v>
      </c>
      <c r="G23" s="887"/>
      <c r="H23" s="886">
        <v>0</v>
      </c>
      <c r="I23" s="887"/>
      <c r="J23" s="886">
        <v>1</v>
      </c>
      <c r="K23" s="887"/>
      <c r="L23" s="886">
        <v>1</v>
      </c>
      <c r="M23" s="887"/>
    </row>
    <row r="24" spans="1:13" ht="20.100000000000001" customHeight="1"/>
    <row r="25" spans="1:13" ht="20.100000000000001" customHeight="1">
      <c r="A25" s="151" t="s">
        <v>339</v>
      </c>
      <c r="B25" s="894" t="s">
        <v>173</v>
      </c>
      <c r="C25" s="895"/>
      <c r="D25" s="893">
        <v>2021</v>
      </c>
      <c r="E25" s="893"/>
      <c r="F25" s="893">
        <v>2022</v>
      </c>
      <c r="G25" s="893"/>
      <c r="H25" s="893">
        <v>2023</v>
      </c>
      <c r="I25" s="893"/>
      <c r="J25" s="893">
        <v>2024</v>
      </c>
      <c r="K25" s="893"/>
      <c r="L25" s="893">
        <v>2025</v>
      </c>
      <c r="M25" s="893"/>
    </row>
    <row r="26" spans="1:13" ht="20.100000000000001" customHeight="1">
      <c r="A26" s="134" t="str">
        <f>D12</f>
        <v>1.8.4</v>
      </c>
      <c r="B26" s="886">
        <f>SUM(D26:M26)</f>
        <v>2411653.0608159159</v>
      </c>
      <c r="C26" s="887"/>
      <c r="D26" s="889">
        <v>0</v>
      </c>
      <c r="E26" s="890"/>
      <c r="F26" s="886">
        <f>'Plano de Segurança Hídrica'!G36*F23</f>
        <v>0</v>
      </c>
      <c r="G26" s="887"/>
      <c r="H26" s="886">
        <f>'Plano de Segurança Hídrica'!G36*H23</f>
        <v>0</v>
      </c>
      <c r="I26" s="887"/>
      <c r="J26" s="886">
        <f>'Gerenciadora obras hidráulicas'!G37*'Ação 1.8.4   5'!J23</f>
        <v>1182182.8729489783</v>
      </c>
      <c r="K26" s="887"/>
      <c r="L26" s="886">
        <f>J26*(1+A27)</f>
        <v>1229470.1878669376</v>
      </c>
      <c r="M26" s="887"/>
    </row>
    <row r="27" spans="1:13">
      <c r="A27" s="558">
        <v>0.04</v>
      </c>
      <c r="B27" s="532" t="s">
        <v>773</v>
      </c>
      <c r="C27" s="532"/>
    </row>
    <row r="28" spans="1:13" ht="15" customHeight="1">
      <c r="A28" s="532"/>
      <c r="B28" s="532"/>
      <c r="C28" s="532"/>
      <c r="D28" s="532"/>
      <c r="E28" s="532"/>
      <c r="F28" s="532"/>
      <c r="G28" s="532"/>
      <c r="H28" s="532"/>
      <c r="I28" s="532"/>
      <c r="J28" s="532"/>
      <c r="K28" s="532"/>
      <c r="L28" s="532"/>
      <c r="M28" s="532"/>
    </row>
    <row r="31" spans="1:13" s="129" customFormat="1" ht="39.950000000000003" customHeight="1">
      <c r="A31" s="804" t="s">
        <v>341</v>
      </c>
      <c r="B31" s="804"/>
      <c r="C31" s="804"/>
      <c r="D31" s="804"/>
      <c r="E31" s="804"/>
      <c r="F31" s="804"/>
      <c r="G31" s="804"/>
      <c r="H31" s="804"/>
      <c r="I31" s="804"/>
      <c r="J31" s="804"/>
      <c r="K31" s="804"/>
      <c r="L31" s="804"/>
      <c r="M31" s="804"/>
    </row>
    <row r="33" spans="1:17" ht="30" customHeight="1">
      <c r="A33" s="155" t="str">
        <f>A3</f>
        <v>FINALIDADE</v>
      </c>
      <c r="B33" s="154"/>
      <c r="C33" s="250">
        <f>C3</f>
        <v>1</v>
      </c>
      <c r="D33" s="892" t="str">
        <f>D3</f>
        <v>Gestão de recursos hídricos</v>
      </c>
      <c r="E33" s="892"/>
      <c r="F33" s="892"/>
      <c r="G33" s="892"/>
      <c r="H33" s="892"/>
      <c r="I33" s="892"/>
      <c r="J33" s="892"/>
      <c r="K33" s="892"/>
      <c r="L33" s="892"/>
      <c r="M33" s="892"/>
    </row>
    <row r="34" spans="1:17" ht="30" customHeight="1">
      <c r="A34" s="157" t="str">
        <f>A6</f>
        <v>PROGRAMA</v>
      </c>
      <c r="B34" s="159"/>
      <c r="C34" s="167">
        <f>C6</f>
        <v>8</v>
      </c>
      <c r="D34" s="885" t="str">
        <f>D6</f>
        <v>Segurança hídrica e eventos críticos</v>
      </c>
      <c r="E34" s="885"/>
      <c r="F34" s="885"/>
      <c r="G34" s="885"/>
      <c r="H34" s="885"/>
      <c r="I34" s="885"/>
      <c r="J34" s="885"/>
      <c r="K34" s="885"/>
      <c r="L34" s="885"/>
      <c r="M34" s="885"/>
    </row>
    <row r="35" spans="1:17" ht="30" customHeight="1">
      <c r="A35" s="156" t="str">
        <f>A11</f>
        <v>AÇÃO</v>
      </c>
      <c r="B35" s="160"/>
      <c r="C35" s="167">
        <f>C11</f>
        <v>4</v>
      </c>
      <c r="D35" s="885" t="str">
        <f>D11</f>
        <v>Estudos, planos, projetos e obras para implantação, expansão ou adequação de estruturas hidráulicas para aumento da segurança hídrica</v>
      </c>
      <c r="E35" s="885"/>
      <c r="F35" s="885"/>
      <c r="G35" s="885"/>
      <c r="H35" s="885"/>
      <c r="I35" s="885"/>
      <c r="J35" s="885"/>
      <c r="K35" s="885"/>
      <c r="L35" s="885"/>
      <c r="M35" s="885"/>
    </row>
    <row r="36" spans="1:17" ht="30" customHeight="1">
      <c r="A36" s="165" t="s">
        <v>317</v>
      </c>
      <c r="B36" s="166"/>
      <c r="C36" s="167">
        <v>5</v>
      </c>
      <c r="D36" s="885" t="s">
        <v>689</v>
      </c>
      <c r="E36" s="885"/>
      <c r="F36" s="885"/>
      <c r="G36" s="885"/>
      <c r="H36" s="885"/>
      <c r="I36" s="885"/>
      <c r="J36" s="885"/>
      <c r="K36" s="885"/>
      <c r="L36" s="885"/>
      <c r="M36" s="885"/>
    </row>
    <row r="37" spans="1:17" s="150" customFormat="1" ht="30" customHeight="1">
      <c r="A37" s="878" t="s">
        <v>308</v>
      </c>
      <c r="B37" s="879"/>
      <c r="C37" s="560"/>
      <c r="D37" s="551">
        <f>C33</f>
        <v>1</v>
      </c>
      <c r="E37" s="551">
        <f>C34</f>
        <v>8</v>
      </c>
      <c r="F37" s="551">
        <f>C35</f>
        <v>4</v>
      </c>
      <c r="G37" s="551">
        <f>C36</f>
        <v>5</v>
      </c>
      <c r="H37" s="560"/>
      <c r="I37" s="560"/>
      <c r="J37" s="560"/>
      <c r="K37" s="560"/>
      <c r="L37" s="560"/>
      <c r="M37" s="561"/>
    </row>
    <row r="38" spans="1:17" s="150" customFormat="1" ht="65.25" customHeight="1">
      <c r="A38" s="880" t="s">
        <v>321</v>
      </c>
      <c r="B38" s="881"/>
      <c r="C38" s="919" t="s">
        <v>679</v>
      </c>
      <c r="D38" s="920"/>
      <c r="E38" s="920"/>
      <c r="F38" s="920"/>
      <c r="G38" s="920"/>
      <c r="H38" s="920"/>
      <c r="I38" s="920"/>
      <c r="J38" s="920"/>
      <c r="K38" s="920"/>
      <c r="L38" s="920"/>
      <c r="M38" s="921"/>
      <c r="P38" s="158"/>
      <c r="Q38" s="253"/>
    </row>
    <row r="39" spans="1:17" s="150" customFormat="1" ht="20.100000000000001" customHeight="1">
      <c r="P39" s="158"/>
    </row>
    <row r="40" spans="1:17" s="150" customFormat="1" ht="20.100000000000001" customHeight="1">
      <c r="P40" s="158"/>
    </row>
    <row r="41" spans="1:17" s="150" customFormat="1" ht="35.1" customHeight="1">
      <c r="A41" s="878" t="s">
        <v>650</v>
      </c>
      <c r="B41" s="879"/>
      <c r="C41" s="883" t="s">
        <v>690</v>
      </c>
      <c r="D41" s="883"/>
      <c r="E41" s="883"/>
      <c r="F41" s="883"/>
      <c r="G41" s="883"/>
      <c r="H41" s="883"/>
      <c r="I41" s="883"/>
      <c r="J41" s="883"/>
      <c r="K41" s="883"/>
      <c r="L41" s="883"/>
      <c r="M41" s="884"/>
      <c r="P41" s="158"/>
    </row>
    <row r="42" spans="1:17" s="150" customFormat="1" ht="20.100000000000001" customHeight="1">
      <c r="A42" s="247" t="s">
        <v>338</v>
      </c>
      <c r="B42" s="249"/>
      <c r="C42" s="255" t="s">
        <v>687</v>
      </c>
      <c r="D42" s="873" t="s">
        <v>688</v>
      </c>
      <c r="E42" s="874"/>
      <c r="F42" s="874"/>
      <c r="G42" s="874"/>
      <c r="H42" s="874"/>
      <c r="I42" s="874"/>
      <c r="J42" s="874"/>
      <c r="K42" s="874"/>
      <c r="L42" s="874"/>
      <c r="M42" s="875"/>
      <c r="P42" s="158"/>
    </row>
    <row r="43" spans="1:17" s="150" customFormat="1" ht="20.100000000000001" customHeight="1">
      <c r="A43" s="248" t="s">
        <v>340</v>
      </c>
      <c r="B43" s="246"/>
      <c r="C43" s="876" t="s">
        <v>651</v>
      </c>
      <c r="D43" s="876"/>
      <c r="E43" s="876"/>
      <c r="F43" s="876"/>
      <c r="G43" s="876"/>
      <c r="H43" s="876"/>
      <c r="I43" s="876"/>
      <c r="J43" s="876"/>
      <c r="K43" s="876"/>
      <c r="L43" s="876"/>
      <c r="M43" s="877"/>
      <c r="P43" s="158"/>
    </row>
    <row r="44" spans="1:17" s="150" customFormat="1" ht="9.9499999999999993" customHeight="1">
      <c r="P44" s="158"/>
    </row>
    <row r="45" spans="1:17" s="150" customFormat="1" ht="20.100000000000001" customHeight="1">
      <c r="A45" s="161" t="s">
        <v>327</v>
      </c>
      <c r="B45" s="162">
        <v>1</v>
      </c>
      <c r="C45" s="162">
        <v>2</v>
      </c>
      <c r="D45" s="162">
        <v>3</v>
      </c>
      <c r="E45" s="162">
        <v>4</v>
      </c>
      <c r="F45" s="162">
        <v>5</v>
      </c>
      <c r="G45" s="162">
        <v>6</v>
      </c>
      <c r="H45" s="162">
        <v>7</v>
      </c>
      <c r="I45" s="162">
        <v>8</v>
      </c>
      <c r="J45" s="162">
        <v>9</v>
      </c>
      <c r="K45" s="162">
        <v>10</v>
      </c>
      <c r="L45" s="162">
        <v>11</v>
      </c>
      <c r="M45" s="162">
        <v>12</v>
      </c>
    </row>
    <row r="46" spans="1:17" s="150" customFormat="1" ht="20.100000000000001" customHeight="1">
      <c r="A46" s="161" t="s">
        <v>328</v>
      </c>
      <c r="B46" s="163"/>
      <c r="C46" s="163"/>
      <c r="D46" s="163"/>
      <c r="E46" s="163"/>
      <c r="F46" s="163"/>
      <c r="G46" s="163"/>
      <c r="H46" s="163"/>
      <c r="I46" s="163"/>
      <c r="J46" s="163"/>
      <c r="K46" s="163"/>
      <c r="L46" s="163"/>
      <c r="M46" s="163"/>
    </row>
    <row r="47" spans="1:17" s="150" customFormat="1" ht="20.100000000000001" customHeight="1">
      <c r="A47" s="161" t="s">
        <v>329</v>
      </c>
      <c r="B47" s="243">
        <f>F19/12</f>
        <v>0</v>
      </c>
      <c r="C47" s="243">
        <v>0</v>
      </c>
      <c r="D47" s="243">
        <v>0</v>
      </c>
      <c r="E47" s="243">
        <v>0</v>
      </c>
      <c r="F47" s="243">
        <v>0</v>
      </c>
      <c r="G47" s="243">
        <v>0</v>
      </c>
      <c r="H47" s="243">
        <v>0</v>
      </c>
      <c r="I47" s="243">
        <v>0</v>
      </c>
      <c r="J47" s="243">
        <v>0</v>
      </c>
      <c r="K47" s="243">
        <v>0</v>
      </c>
      <c r="L47" s="243">
        <v>0</v>
      </c>
      <c r="M47" s="243">
        <v>0</v>
      </c>
    </row>
    <row r="48" spans="1:17" s="150" customFormat="1" ht="20.100000000000001" customHeight="1"/>
    <row r="49" spans="1:13" s="150" customFormat="1" ht="20.100000000000001" customHeight="1">
      <c r="A49" s="161" t="s">
        <v>327</v>
      </c>
      <c r="B49" s="162">
        <v>13</v>
      </c>
      <c r="C49" s="162">
        <v>14</v>
      </c>
      <c r="D49" s="162">
        <v>15</v>
      </c>
      <c r="E49" s="162">
        <v>16</v>
      </c>
      <c r="F49" s="162">
        <v>17</v>
      </c>
      <c r="G49" s="162">
        <v>18</v>
      </c>
      <c r="H49" s="162">
        <v>19</v>
      </c>
      <c r="I49" s="162">
        <v>20</v>
      </c>
      <c r="J49" s="162">
        <v>21</v>
      </c>
      <c r="K49" s="162">
        <v>22</v>
      </c>
      <c r="L49" s="162">
        <v>23</v>
      </c>
      <c r="M49" s="162">
        <v>24</v>
      </c>
    </row>
    <row r="50" spans="1:13" s="150" customFormat="1" ht="20.100000000000001" customHeight="1">
      <c r="A50" s="161" t="s">
        <v>328</v>
      </c>
      <c r="B50" s="163"/>
      <c r="C50" s="163"/>
      <c r="D50" s="163"/>
      <c r="E50" s="163"/>
      <c r="F50" s="163"/>
      <c r="G50" s="163"/>
      <c r="H50" s="163"/>
      <c r="I50" s="163"/>
      <c r="J50" s="163"/>
      <c r="K50" s="163"/>
      <c r="L50" s="163"/>
      <c r="M50" s="163"/>
    </row>
    <row r="51" spans="1:13" s="150" customFormat="1" ht="20.100000000000001" customHeight="1">
      <c r="A51" s="161" t="s">
        <v>329</v>
      </c>
      <c r="B51" s="243">
        <f>F23/12</f>
        <v>0</v>
      </c>
      <c r="C51" s="243">
        <v>0</v>
      </c>
      <c r="D51" s="243">
        <v>0</v>
      </c>
      <c r="E51" s="243">
        <v>0</v>
      </c>
      <c r="F51" s="243">
        <v>0</v>
      </c>
      <c r="G51" s="243">
        <v>0</v>
      </c>
      <c r="H51" s="243">
        <v>0</v>
      </c>
      <c r="I51" s="243">
        <v>0</v>
      </c>
      <c r="J51" s="243">
        <v>0</v>
      </c>
      <c r="K51" s="243">
        <v>0</v>
      </c>
      <c r="L51" s="243">
        <v>0</v>
      </c>
      <c r="M51" s="243">
        <v>0</v>
      </c>
    </row>
    <row r="52" spans="1:13" s="150" customFormat="1" ht="20.100000000000001" customHeight="1"/>
    <row r="53" spans="1:13" s="150" customFormat="1" ht="20.100000000000001" customHeight="1">
      <c r="A53" s="161" t="s">
        <v>327</v>
      </c>
      <c r="B53" s="162">
        <v>25</v>
      </c>
      <c r="C53" s="162">
        <v>26</v>
      </c>
      <c r="D53" s="162">
        <v>27</v>
      </c>
      <c r="E53" s="162">
        <v>28</v>
      </c>
      <c r="F53" s="162">
        <v>29</v>
      </c>
      <c r="G53" s="162">
        <v>30</v>
      </c>
      <c r="H53" s="162">
        <v>31</v>
      </c>
      <c r="I53" s="162">
        <v>32</v>
      </c>
      <c r="J53" s="162">
        <v>33</v>
      </c>
      <c r="K53" s="162">
        <v>34</v>
      </c>
      <c r="L53" s="162">
        <v>35</v>
      </c>
      <c r="M53" s="162">
        <v>36</v>
      </c>
    </row>
    <row r="54" spans="1:13" s="150" customFormat="1" ht="20.100000000000001" customHeight="1">
      <c r="A54" s="161" t="s">
        <v>328</v>
      </c>
      <c r="B54" s="163"/>
      <c r="C54" s="163"/>
      <c r="D54" s="163"/>
      <c r="E54" s="163"/>
      <c r="F54" s="163"/>
      <c r="G54" s="163"/>
      <c r="H54" s="163"/>
      <c r="I54" s="163"/>
      <c r="J54" s="163"/>
      <c r="K54" s="163"/>
      <c r="L54" s="163"/>
      <c r="M54" s="163"/>
    </row>
    <row r="55" spans="1:13" s="150" customFormat="1" ht="20.100000000000001" customHeight="1">
      <c r="A55" s="161" t="s">
        <v>329</v>
      </c>
      <c r="B55" s="243">
        <f>F27/12</f>
        <v>0</v>
      </c>
      <c r="C55" s="243">
        <v>0</v>
      </c>
      <c r="D55" s="243">
        <v>0</v>
      </c>
      <c r="E55" s="243">
        <v>0</v>
      </c>
      <c r="F55" s="243">
        <v>0</v>
      </c>
      <c r="G55" s="243">
        <v>0</v>
      </c>
      <c r="H55" s="243">
        <v>0</v>
      </c>
      <c r="I55" s="243">
        <v>0</v>
      </c>
      <c r="J55" s="243">
        <v>0</v>
      </c>
      <c r="K55" s="243">
        <v>0</v>
      </c>
      <c r="L55" s="243">
        <v>0</v>
      </c>
      <c r="M55" s="243">
        <v>0</v>
      </c>
    </row>
    <row r="56" spans="1:13" s="150" customFormat="1" ht="20.100000000000001" customHeight="1"/>
    <row r="57" spans="1:13" s="150" customFormat="1" ht="20.100000000000001" customHeight="1">
      <c r="A57" s="161" t="s">
        <v>327</v>
      </c>
      <c r="B57" s="162">
        <v>37</v>
      </c>
      <c r="C57" s="162">
        <v>38</v>
      </c>
      <c r="D57" s="162">
        <v>39</v>
      </c>
      <c r="E57" s="162">
        <v>40</v>
      </c>
      <c r="F57" s="162">
        <v>41</v>
      </c>
      <c r="G57" s="162">
        <v>42</v>
      </c>
      <c r="H57" s="162">
        <v>43</v>
      </c>
      <c r="I57" s="162">
        <v>44</v>
      </c>
      <c r="J57" s="162">
        <v>45</v>
      </c>
      <c r="K57" s="162">
        <v>46</v>
      </c>
      <c r="L57" s="162">
        <v>47</v>
      </c>
      <c r="M57" s="162">
        <v>48</v>
      </c>
    </row>
    <row r="58" spans="1:13" s="150" customFormat="1" ht="20.100000000000001" customHeight="1">
      <c r="A58" s="161" t="s">
        <v>328</v>
      </c>
      <c r="B58" s="164"/>
      <c r="C58" s="164"/>
      <c r="D58" s="164"/>
      <c r="E58" s="164"/>
      <c r="F58" s="164"/>
      <c r="G58" s="164"/>
      <c r="H58" s="164"/>
      <c r="I58" s="164"/>
      <c r="J58" s="164"/>
      <c r="K58" s="164"/>
      <c r="L58" s="164"/>
      <c r="M58" s="164"/>
    </row>
    <row r="59" spans="1:13" s="150" customFormat="1" ht="20.100000000000001" customHeight="1">
      <c r="A59" s="161" t="s">
        <v>329</v>
      </c>
      <c r="B59" s="243">
        <f>$J$26/12</f>
        <v>98515.239412414856</v>
      </c>
      <c r="C59" s="243">
        <f t="shared" ref="C59:M59" si="0">$J$26/12</f>
        <v>98515.239412414856</v>
      </c>
      <c r="D59" s="243">
        <f t="shared" si="0"/>
        <v>98515.239412414856</v>
      </c>
      <c r="E59" s="243">
        <f t="shared" si="0"/>
        <v>98515.239412414856</v>
      </c>
      <c r="F59" s="243">
        <f t="shared" si="0"/>
        <v>98515.239412414856</v>
      </c>
      <c r="G59" s="243">
        <f t="shared" si="0"/>
        <v>98515.239412414856</v>
      </c>
      <c r="H59" s="243">
        <f t="shared" si="0"/>
        <v>98515.239412414856</v>
      </c>
      <c r="I59" s="243">
        <f t="shared" si="0"/>
        <v>98515.239412414856</v>
      </c>
      <c r="J59" s="243">
        <f t="shared" si="0"/>
        <v>98515.239412414856</v>
      </c>
      <c r="K59" s="243">
        <f t="shared" si="0"/>
        <v>98515.239412414856</v>
      </c>
      <c r="L59" s="243">
        <f t="shared" si="0"/>
        <v>98515.239412414856</v>
      </c>
      <c r="M59" s="243">
        <f t="shared" si="0"/>
        <v>98515.239412414856</v>
      </c>
    </row>
    <row r="60" spans="1:13" s="150" customFormat="1" ht="20.100000000000001" customHeight="1"/>
    <row r="61" spans="1:13" s="150" customFormat="1" ht="20.100000000000001" customHeight="1">
      <c r="A61" s="161" t="s">
        <v>327</v>
      </c>
      <c r="B61" s="162">
        <v>49</v>
      </c>
      <c r="C61" s="162">
        <v>50</v>
      </c>
      <c r="D61" s="162">
        <v>51</v>
      </c>
      <c r="E61" s="162">
        <v>52</v>
      </c>
      <c r="F61" s="162">
        <v>53</v>
      </c>
      <c r="G61" s="162">
        <v>54</v>
      </c>
      <c r="H61" s="162">
        <v>55</v>
      </c>
      <c r="I61" s="162">
        <v>56</v>
      </c>
      <c r="J61" s="162">
        <v>57</v>
      </c>
      <c r="K61" s="162">
        <v>58</v>
      </c>
      <c r="L61" s="162">
        <v>59</v>
      </c>
      <c r="M61" s="162">
        <v>60</v>
      </c>
    </row>
    <row r="62" spans="1:13" s="150" customFormat="1" ht="20.100000000000001" customHeight="1">
      <c r="A62" s="161" t="s">
        <v>328</v>
      </c>
      <c r="B62" s="164"/>
      <c r="C62" s="164"/>
      <c r="D62" s="164"/>
      <c r="E62" s="164"/>
      <c r="F62" s="164"/>
      <c r="G62" s="164"/>
      <c r="H62" s="164"/>
      <c r="I62" s="164"/>
      <c r="J62" s="164"/>
      <c r="K62" s="164"/>
      <c r="L62" s="164"/>
      <c r="M62" s="164"/>
    </row>
    <row r="63" spans="1:13" s="150" customFormat="1" ht="20.100000000000001" customHeight="1">
      <c r="A63" s="161" t="s">
        <v>329</v>
      </c>
      <c r="B63" s="243">
        <f>$L$26/12</f>
        <v>102455.84898891147</v>
      </c>
      <c r="C63" s="243">
        <f t="shared" ref="C63:M63" si="1">$L$26/12</f>
        <v>102455.84898891147</v>
      </c>
      <c r="D63" s="243">
        <f t="shared" si="1"/>
        <v>102455.84898891147</v>
      </c>
      <c r="E63" s="243">
        <f t="shared" si="1"/>
        <v>102455.84898891147</v>
      </c>
      <c r="F63" s="243">
        <f t="shared" si="1"/>
        <v>102455.84898891147</v>
      </c>
      <c r="G63" s="243">
        <f t="shared" si="1"/>
        <v>102455.84898891147</v>
      </c>
      <c r="H63" s="243">
        <f t="shared" si="1"/>
        <v>102455.84898891147</v>
      </c>
      <c r="I63" s="243">
        <f t="shared" si="1"/>
        <v>102455.84898891147</v>
      </c>
      <c r="J63" s="243">
        <f t="shared" si="1"/>
        <v>102455.84898891147</v>
      </c>
      <c r="K63" s="243">
        <f t="shared" si="1"/>
        <v>102455.84898891147</v>
      </c>
      <c r="L63" s="243">
        <f t="shared" si="1"/>
        <v>102455.84898891147</v>
      </c>
      <c r="M63" s="243">
        <f t="shared" si="1"/>
        <v>102455.84898891147</v>
      </c>
    </row>
    <row r="64" spans="1:13" s="150" customFormat="1" ht="20.100000000000001" customHeight="1"/>
    <row r="65" s="150" customFormat="1" ht="20.100000000000001" customHeight="1"/>
  </sheetData>
  <mergeCells count="66">
    <mergeCell ref="D42:M42"/>
    <mergeCell ref="C43:M43"/>
    <mergeCell ref="A37:B37"/>
    <mergeCell ref="A38:B38"/>
    <mergeCell ref="C38:M38"/>
    <mergeCell ref="A41:B41"/>
    <mergeCell ref="C41:M41"/>
    <mergeCell ref="D36:M36"/>
    <mergeCell ref="B26:C26"/>
    <mergeCell ref="D26:E26"/>
    <mergeCell ref="F26:G26"/>
    <mergeCell ref="H26:I26"/>
    <mergeCell ref="J26:K26"/>
    <mergeCell ref="L26:M26"/>
    <mergeCell ref="A31:M31"/>
    <mergeCell ref="D33:M33"/>
    <mergeCell ref="D34:M34"/>
    <mergeCell ref="D35:M35"/>
    <mergeCell ref="L25:M25"/>
    <mergeCell ref="B23:C23"/>
    <mergeCell ref="D23:E23"/>
    <mergeCell ref="F23:G23"/>
    <mergeCell ref="H23:I23"/>
    <mergeCell ref="J23:K23"/>
    <mergeCell ref="L23:M23"/>
    <mergeCell ref="B25:C25"/>
    <mergeCell ref="D25:E25"/>
    <mergeCell ref="F25:G25"/>
    <mergeCell ref="H25:I25"/>
    <mergeCell ref="J25:K25"/>
    <mergeCell ref="A19:C19"/>
    <mergeCell ref="D19:M19"/>
    <mergeCell ref="A20:C20"/>
    <mergeCell ref="D20:M20"/>
    <mergeCell ref="B22:C22"/>
    <mergeCell ref="D22:E22"/>
    <mergeCell ref="F22:G22"/>
    <mergeCell ref="H22:I22"/>
    <mergeCell ref="J22:K22"/>
    <mergeCell ref="L22:M22"/>
    <mergeCell ref="A16:C16"/>
    <mergeCell ref="D16:M16"/>
    <mergeCell ref="A17:C17"/>
    <mergeCell ref="D17:M17"/>
    <mergeCell ref="A18:C18"/>
    <mergeCell ref="D18:M18"/>
    <mergeCell ref="A13:C13"/>
    <mergeCell ref="D13:M13"/>
    <mergeCell ref="A14:C14"/>
    <mergeCell ref="D14:M14"/>
    <mergeCell ref="A15:C15"/>
    <mergeCell ref="D15:M15"/>
    <mergeCell ref="A12:C12"/>
    <mergeCell ref="D12:M12"/>
    <mergeCell ref="A1:M1"/>
    <mergeCell ref="D3:M3"/>
    <mergeCell ref="A4:C4"/>
    <mergeCell ref="D4:M4"/>
    <mergeCell ref="D6:M6"/>
    <mergeCell ref="A7:C7"/>
    <mergeCell ref="D7:M7"/>
    <mergeCell ref="A8:C8"/>
    <mergeCell ref="D8:M8"/>
    <mergeCell ref="A9:C9"/>
    <mergeCell ref="D9:M9"/>
    <mergeCell ref="D11:M11"/>
  </mergeCells>
  <printOptions horizontalCentered="1"/>
  <pageMargins left="0.51181102362204722" right="0.51181102362204722" top="0.78740157480314965" bottom="0.78740157480314965" header="0.31496062992125984" footer="0.31496062992125984"/>
  <pageSetup paperSize="9" scale="93" orientation="portrait" r:id="rId1"/>
  <headerFooter>
    <oddFooter>&amp;L&amp;F&amp;C&amp;A&amp;R&amp;P/&amp;N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65"/>
  <sheetViews>
    <sheetView topLeftCell="A6" workbookViewId="0">
      <selection activeCell="E40" sqref="E40"/>
    </sheetView>
  </sheetViews>
  <sheetFormatPr defaultRowHeight="15"/>
  <cols>
    <col min="1" max="1" width="10.125" style="130" customWidth="1"/>
    <col min="2" max="13" width="6.625" style="130" customWidth="1"/>
    <col min="14" max="17" width="9" style="130"/>
    <col min="18" max="18" width="43.25" style="130" customWidth="1"/>
    <col min="19" max="16384" width="9" style="130"/>
  </cols>
  <sheetData>
    <row r="1" spans="1:13" s="129" customFormat="1" ht="39.950000000000003" customHeight="1">
      <c r="A1" s="804" t="s">
        <v>791</v>
      </c>
      <c r="B1" s="804"/>
      <c r="C1" s="804"/>
      <c r="D1" s="804"/>
      <c r="E1" s="804"/>
      <c r="F1" s="804"/>
      <c r="G1" s="804"/>
      <c r="H1" s="804"/>
      <c r="I1" s="804"/>
      <c r="J1" s="804"/>
      <c r="K1" s="804"/>
      <c r="L1" s="804"/>
      <c r="M1" s="804"/>
    </row>
    <row r="3" spans="1:13" ht="20.100000000000001" customHeight="1">
      <c r="A3" s="132" t="s">
        <v>190</v>
      </c>
      <c r="B3" s="152"/>
      <c r="C3" s="133">
        <v>1</v>
      </c>
      <c r="D3" s="901" t="s">
        <v>312</v>
      </c>
      <c r="E3" s="902"/>
      <c r="F3" s="902"/>
      <c r="G3" s="902"/>
      <c r="H3" s="902"/>
      <c r="I3" s="902"/>
      <c r="J3" s="902"/>
      <c r="K3" s="902"/>
      <c r="L3" s="902"/>
      <c r="M3" s="903"/>
    </row>
    <row r="4" spans="1:13" ht="45" customHeight="1">
      <c r="A4" s="896" t="s">
        <v>294</v>
      </c>
      <c r="B4" s="896"/>
      <c r="C4" s="896"/>
      <c r="D4" s="897" t="s">
        <v>286</v>
      </c>
      <c r="E4" s="897"/>
      <c r="F4" s="897"/>
      <c r="G4" s="897"/>
      <c r="H4" s="897"/>
      <c r="I4" s="897"/>
      <c r="J4" s="897"/>
      <c r="K4" s="897"/>
      <c r="L4" s="897"/>
      <c r="M4" s="897"/>
    </row>
    <row r="6" spans="1:13" ht="20.100000000000001" customHeight="1">
      <c r="A6" s="132" t="s">
        <v>192</v>
      </c>
      <c r="B6" s="152"/>
      <c r="C6" s="133">
        <v>11</v>
      </c>
      <c r="D6" s="924" t="s">
        <v>498</v>
      </c>
      <c r="E6" s="924"/>
      <c r="F6" s="924"/>
      <c r="G6" s="924"/>
      <c r="H6" s="924"/>
      <c r="I6" s="924"/>
      <c r="J6" s="924"/>
      <c r="K6" s="924"/>
      <c r="L6" s="924"/>
      <c r="M6" s="924"/>
    </row>
    <row r="7" spans="1:13" ht="45" customHeight="1">
      <c r="A7" s="896" t="s">
        <v>291</v>
      </c>
      <c r="B7" s="896"/>
      <c r="C7" s="896"/>
      <c r="D7" s="897" t="s">
        <v>714</v>
      </c>
      <c r="E7" s="897"/>
      <c r="F7" s="897"/>
      <c r="G7" s="897"/>
      <c r="H7" s="897"/>
      <c r="I7" s="897"/>
      <c r="J7" s="897"/>
      <c r="K7" s="897"/>
      <c r="L7" s="897"/>
      <c r="M7" s="897"/>
    </row>
    <row r="8" spans="1:13" ht="64.5" customHeight="1">
      <c r="A8" s="896" t="s">
        <v>293</v>
      </c>
      <c r="B8" s="896"/>
      <c r="C8" s="896"/>
      <c r="D8" s="897" t="s">
        <v>715</v>
      </c>
      <c r="E8" s="897"/>
      <c r="F8" s="897"/>
      <c r="G8" s="897"/>
      <c r="H8" s="897"/>
      <c r="I8" s="897"/>
      <c r="J8" s="897"/>
      <c r="K8" s="897"/>
      <c r="L8" s="897"/>
      <c r="M8" s="897"/>
    </row>
    <row r="9" spans="1:13" ht="30" customHeight="1">
      <c r="A9" s="896" t="s">
        <v>292</v>
      </c>
      <c r="B9" s="896"/>
      <c r="C9" s="896"/>
      <c r="D9" s="897" t="s">
        <v>716</v>
      </c>
      <c r="E9" s="897"/>
      <c r="F9" s="897"/>
      <c r="G9" s="897"/>
      <c r="H9" s="897"/>
      <c r="I9" s="897"/>
      <c r="J9" s="897"/>
      <c r="K9" s="897"/>
      <c r="L9" s="897"/>
      <c r="M9" s="897"/>
    </row>
    <row r="11" spans="1:13" ht="30" customHeight="1">
      <c r="A11" s="132" t="s">
        <v>193</v>
      </c>
      <c r="B11" s="152"/>
      <c r="C11" s="133">
        <v>1</v>
      </c>
      <c r="D11" s="907" t="s">
        <v>500</v>
      </c>
      <c r="E11" s="908"/>
      <c r="F11" s="908"/>
      <c r="G11" s="908"/>
      <c r="H11" s="908"/>
      <c r="I11" s="908"/>
      <c r="J11" s="908"/>
      <c r="K11" s="908"/>
      <c r="L11" s="908"/>
      <c r="M11" s="909"/>
    </row>
    <row r="12" spans="1:13" s="150" customFormat="1" ht="20.100000000000001" customHeight="1">
      <c r="A12" s="898" t="s">
        <v>308</v>
      </c>
      <c r="B12" s="899"/>
      <c r="C12" s="900"/>
      <c r="D12" s="897" t="s">
        <v>499</v>
      </c>
      <c r="E12" s="897"/>
      <c r="F12" s="897"/>
      <c r="G12" s="897"/>
      <c r="H12" s="897"/>
      <c r="I12" s="897"/>
      <c r="J12" s="897"/>
      <c r="K12" s="897"/>
      <c r="L12" s="897"/>
      <c r="M12" s="897"/>
    </row>
    <row r="13" spans="1:13" ht="30" customHeight="1">
      <c r="A13" s="896" t="s">
        <v>296</v>
      </c>
      <c r="B13" s="896"/>
      <c r="C13" s="896"/>
      <c r="D13" s="897" t="s">
        <v>712</v>
      </c>
      <c r="E13" s="897"/>
      <c r="F13" s="897"/>
      <c r="G13" s="897"/>
      <c r="H13" s="897"/>
      <c r="I13" s="897"/>
      <c r="J13" s="897"/>
      <c r="K13" s="897"/>
      <c r="L13" s="897"/>
      <c r="M13" s="897"/>
    </row>
    <row r="14" spans="1:13" ht="20.100000000000001" customHeight="1">
      <c r="A14" s="896" t="s">
        <v>311</v>
      </c>
      <c r="B14" s="896"/>
      <c r="C14" s="896"/>
      <c r="D14" s="897" t="s">
        <v>713</v>
      </c>
      <c r="E14" s="897"/>
      <c r="F14" s="897"/>
      <c r="G14" s="897"/>
      <c r="H14" s="897"/>
      <c r="I14" s="897"/>
      <c r="J14" s="897"/>
      <c r="K14" s="897"/>
      <c r="L14" s="897"/>
      <c r="M14" s="897"/>
    </row>
    <row r="15" spans="1:13" s="150" customFormat="1" ht="20.100000000000001" customHeight="1">
      <c r="A15" s="898" t="s">
        <v>305</v>
      </c>
      <c r="B15" s="899"/>
      <c r="C15" s="900"/>
      <c r="D15" s="897" t="s">
        <v>654</v>
      </c>
      <c r="E15" s="897"/>
      <c r="F15" s="897"/>
      <c r="G15" s="897"/>
      <c r="H15" s="897"/>
      <c r="I15" s="897"/>
      <c r="J15" s="897"/>
      <c r="K15" s="897"/>
      <c r="L15" s="897"/>
      <c r="M15" s="897"/>
    </row>
    <row r="16" spans="1:13" ht="45" customHeight="1">
      <c r="A16" s="896" t="s">
        <v>297</v>
      </c>
      <c r="B16" s="896"/>
      <c r="C16" s="896"/>
      <c r="D16" s="897" t="s">
        <v>708</v>
      </c>
      <c r="E16" s="897"/>
      <c r="F16" s="897"/>
      <c r="G16" s="897"/>
      <c r="H16" s="897"/>
      <c r="I16" s="897"/>
      <c r="J16" s="897"/>
      <c r="K16" s="897"/>
      <c r="L16" s="897"/>
      <c r="M16" s="897"/>
    </row>
    <row r="17" spans="1:13" ht="60" customHeight="1">
      <c r="A17" s="896" t="s">
        <v>299</v>
      </c>
      <c r="B17" s="896"/>
      <c r="C17" s="896"/>
      <c r="D17" s="897" t="s">
        <v>709</v>
      </c>
      <c r="E17" s="897"/>
      <c r="F17" s="897"/>
      <c r="G17" s="897"/>
      <c r="H17" s="897"/>
      <c r="I17" s="897"/>
      <c r="J17" s="897"/>
      <c r="K17" s="897"/>
      <c r="L17" s="897"/>
      <c r="M17" s="897"/>
    </row>
    <row r="18" spans="1:13" ht="30" customHeight="1">
      <c r="A18" s="896" t="s">
        <v>292</v>
      </c>
      <c r="B18" s="896"/>
      <c r="C18" s="896"/>
      <c r="D18" s="897" t="s">
        <v>710</v>
      </c>
      <c r="E18" s="897"/>
      <c r="F18" s="897"/>
      <c r="G18" s="897"/>
      <c r="H18" s="897"/>
      <c r="I18" s="897"/>
      <c r="J18" s="897"/>
      <c r="K18" s="897"/>
      <c r="L18" s="897"/>
      <c r="M18" s="897"/>
    </row>
    <row r="19" spans="1:13" ht="20.100000000000001" customHeight="1">
      <c r="A19" s="896" t="s">
        <v>302</v>
      </c>
      <c r="B19" s="896"/>
      <c r="C19" s="896"/>
      <c r="D19" s="897" t="s">
        <v>711</v>
      </c>
      <c r="E19" s="897"/>
      <c r="F19" s="897"/>
      <c r="G19" s="897"/>
      <c r="H19" s="897"/>
      <c r="I19" s="897"/>
      <c r="J19" s="897"/>
      <c r="K19" s="897"/>
      <c r="L19" s="897"/>
      <c r="M19" s="897"/>
    </row>
    <row r="20" spans="1:13" ht="20.100000000000001" customHeight="1">
      <c r="A20" s="896" t="s">
        <v>303</v>
      </c>
      <c r="B20" s="896"/>
      <c r="C20" s="896"/>
      <c r="D20" s="897" t="s">
        <v>224</v>
      </c>
      <c r="E20" s="897"/>
      <c r="F20" s="897"/>
      <c r="G20" s="897"/>
      <c r="H20" s="897"/>
      <c r="I20" s="897"/>
      <c r="J20" s="897"/>
      <c r="K20" s="897"/>
      <c r="L20" s="897"/>
      <c r="M20" s="897"/>
    </row>
    <row r="21" spans="1:13" ht="20.100000000000001" customHeight="1"/>
    <row r="22" spans="1:13" ht="20.100000000000001" customHeight="1">
      <c r="A22" s="151" t="s">
        <v>339</v>
      </c>
      <c r="B22" s="894" t="s">
        <v>313</v>
      </c>
      <c r="C22" s="895"/>
      <c r="D22" s="893">
        <v>2021</v>
      </c>
      <c r="E22" s="893"/>
      <c r="F22" s="893">
        <v>2022</v>
      </c>
      <c r="G22" s="893"/>
      <c r="H22" s="893">
        <v>2023</v>
      </c>
      <c r="I22" s="893"/>
      <c r="J22" s="893">
        <v>2024</v>
      </c>
      <c r="K22" s="893"/>
      <c r="L22" s="893">
        <v>2025</v>
      </c>
      <c r="M22" s="893"/>
    </row>
    <row r="23" spans="1:13" ht="20.100000000000001" customHeight="1">
      <c r="A23" s="134" t="str">
        <f>D12</f>
        <v>1.11.1</v>
      </c>
      <c r="B23" s="889">
        <f>SUM(D23:M23)</f>
        <v>160</v>
      </c>
      <c r="C23" s="890"/>
      <c r="D23" s="886">
        <v>20</v>
      </c>
      <c r="E23" s="887"/>
      <c r="F23" s="886">
        <v>20</v>
      </c>
      <c r="G23" s="887"/>
      <c r="H23" s="886">
        <v>30</v>
      </c>
      <c r="I23" s="887"/>
      <c r="J23" s="886">
        <v>40</v>
      </c>
      <c r="K23" s="887"/>
      <c r="L23" s="886">
        <v>50</v>
      </c>
      <c r="M23" s="887"/>
    </row>
    <row r="24" spans="1:13" ht="20.100000000000001" customHeight="1"/>
    <row r="25" spans="1:13" ht="20.100000000000001" customHeight="1">
      <c r="A25" s="151" t="s">
        <v>339</v>
      </c>
      <c r="B25" s="894" t="s">
        <v>173</v>
      </c>
      <c r="C25" s="895"/>
      <c r="D25" s="893">
        <v>2021</v>
      </c>
      <c r="E25" s="893"/>
      <c r="F25" s="893">
        <v>2022</v>
      </c>
      <c r="G25" s="893"/>
      <c r="H25" s="893">
        <v>2023</v>
      </c>
      <c r="I25" s="893"/>
      <c r="J25" s="893">
        <v>2024</v>
      </c>
      <c r="K25" s="893"/>
      <c r="L25" s="893">
        <v>2025</v>
      </c>
      <c r="M25" s="893"/>
    </row>
    <row r="26" spans="1:13" ht="20.100000000000001" customHeight="1">
      <c r="A26" s="134" t="str">
        <f>D12</f>
        <v>1.11.1</v>
      </c>
      <c r="B26" s="886">
        <f>SUM(D26:M26)</f>
        <v>2861250.2202452435</v>
      </c>
      <c r="C26" s="887"/>
      <c r="D26" s="886">
        <f>'Plano de Comunicação'!G37/2</f>
        <v>458059.1868047656</v>
      </c>
      <c r="E26" s="887"/>
      <c r="F26" s="886">
        <f>('Plano de Comunicação'!G37/2)+('Plano de Comunicação'!G37*50%)</f>
        <v>916118.37360953121</v>
      </c>
      <c r="G26" s="887"/>
      <c r="H26" s="886">
        <f>'Plano de Comunicação'!G37*50%*(1+A28)</f>
        <v>476381.55427695625</v>
      </c>
      <c r="I26" s="887"/>
      <c r="J26" s="886">
        <f>H26*(1+A28)</f>
        <v>495436.81644803449</v>
      </c>
      <c r="K26" s="887"/>
      <c r="L26" s="886">
        <f>J26*(1+A28)</f>
        <v>515254.28910595586</v>
      </c>
      <c r="M26" s="887"/>
    </row>
    <row r="28" spans="1:13" ht="15" customHeight="1">
      <c r="A28" s="558">
        <v>0.04</v>
      </c>
      <c r="B28" s="532" t="s">
        <v>704</v>
      </c>
      <c r="C28" s="532"/>
      <c r="D28" s="532"/>
      <c r="E28" s="532"/>
      <c r="F28" s="532"/>
      <c r="G28" s="532"/>
      <c r="H28" s="532"/>
      <c r="I28" s="532"/>
      <c r="J28" s="532"/>
      <c r="K28" s="532"/>
      <c r="L28" s="532"/>
      <c r="M28" s="532"/>
    </row>
    <row r="31" spans="1:13" s="129" customFormat="1" ht="39.950000000000003" customHeight="1">
      <c r="A31" s="804" t="s">
        <v>341</v>
      </c>
      <c r="B31" s="804"/>
      <c r="C31" s="804"/>
      <c r="D31" s="804"/>
      <c r="E31" s="804"/>
      <c r="F31" s="804"/>
      <c r="G31" s="804"/>
      <c r="H31" s="804"/>
      <c r="I31" s="804"/>
      <c r="J31" s="804"/>
      <c r="K31" s="804"/>
      <c r="L31" s="804"/>
      <c r="M31" s="804"/>
    </row>
    <row r="33" spans="1:17" ht="30" customHeight="1">
      <c r="A33" s="155" t="str">
        <f>A3</f>
        <v>FINALIDADE</v>
      </c>
      <c r="B33" s="154"/>
      <c r="C33" s="250">
        <f>C3</f>
        <v>1</v>
      </c>
      <c r="D33" s="892" t="str">
        <f>D3</f>
        <v>Gestão de recursos hídricos</v>
      </c>
      <c r="E33" s="892"/>
      <c r="F33" s="892"/>
      <c r="G33" s="892"/>
      <c r="H33" s="892"/>
      <c r="I33" s="892"/>
      <c r="J33" s="892"/>
      <c r="K33" s="892"/>
      <c r="L33" s="892"/>
      <c r="M33" s="892"/>
    </row>
    <row r="34" spans="1:17" ht="30" customHeight="1">
      <c r="A34" s="157" t="str">
        <f>A6</f>
        <v>PROGRAMA</v>
      </c>
      <c r="B34" s="159"/>
      <c r="C34" s="167">
        <f>C6</f>
        <v>11</v>
      </c>
      <c r="D34" s="885" t="str">
        <f>D6</f>
        <v xml:space="preserve">Comunicação, mobilização social, educação e capacitação técnica </v>
      </c>
      <c r="E34" s="885"/>
      <c r="F34" s="885"/>
      <c r="G34" s="885"/>
      <c r="H34" s="885"/>
      <c r="I34" s="885"/>
      <c r="J34" s="885"/>
      <c r="K34" s="885"/>
      <c r="L34" s="885"/>
      <c r="M34" s="885"/>
    </row>
    <row r="35" spans="1:17" ht="30" customHeight="1">
      <c r="A35" s="156" t="str">
        <f>A11</f>
        <v>AÇÃO</v>
      </c>
      <c r="B35" s="160"/>
      <c r="C35" s="167">
        <f>C11</f>
        <v>1</v>
      </c>
      <c r="D35" s="885" t="str">
        <f>D11</f>
        <v>Comunicação social voltada ao fortalecimento do comitê de bacia hidrográfica</v>
      </c>
      <c r="E35" s="885"/>
      <c r="F35" s="885"/>
      <c r="G35" s="885"/>
      <c r="H35" s="885"/>
      <c r="I35" s="885"/>
      <c r="J35" s="885"/>
      <c r="K35" s="885"/>
      <c r="L35" s="885"/>
      <c r="M35" s="885"/>
    </row>
    <row r="36" spans="1:17" ht="30" customHeight="1">
      <c r="A36" s="165" t="s">
        <v>317</v>
      </c>
      <c r="B36" s="166"/>
      <c r="C36" s="167">
        <v>1</v>
      </c>
      <c r="D36" s="885" t="s">
        <v>705</v>
      </c>
      <c r="E36" s="885"/>
      <c r="F36" s="885"/>
      <c r="G36" s="885"/>
      <c r="H36" s="885"/>
      <c r="I36" s="885"/>
      <c r="J36" s="885"/>
      <c r="K36" s="885"/>
      <c r="L36" s="885"/>
      <c r="M36" s="885"/>
    </row>
    <row r="37" spans="1:17" s="150" customFormat="1" ht="30" customHeight="1">
      <c r="A37" s="878" t="s">
        <v>308</v>
      </c>
      <c r="B37" s="879"/>
      <c r="C37" s="560"/>
      <c r="D37" s="551">
        <f>C33</f>
        <v>1</v>
      </c>
      <c r="E37" s="551">
        <f>C34</f>
        <v>11</v>
      </c>
      <c r="F37" s="551">
        <f>C35</f>
        <v>1</v>
      </c>
      <c r="G37" s="551">
        <f>C36</f>
        <v>1</v>
      </c>
      <c r="H37" s="560"/>
      <c r="I37" s="560"/>
      <c r="J37" s="560"/>
      <c r="K37" s="560"/>
      <c r="L37" s="560"/>
      <c r="M37" s="561"/>
    </row>
    <row r="38" spans="1:17" s="150" customFormat="1" ht="65.25" customHeight="1">
      <c r="A38" s="880" t="s">
        <v>321</v>
      </c>
      <c r="B38" s="881"/>
      <c r="C38" s="919" t="s">
        <v>717</v>
      </c>
      <c r="D38" s="920"/>
      <c r="E38" s="920"/>
      <c r="F38" s="920"/>
      <c r="G38" s="920"/>
      <c r="H38" s="920"/>
      <c r="I38" s="920"/>
      <c r="J38" s="920"/>
      <c r="K38" s="920"/>
      <c r="L38" s="920"/>
      <c r="M38" s="921"/>
      <c r="P38" s="158"/>
      <c r="Q38" s="253"/>
    </row>
    <row r="39" spans="1:17" s="150" customFormat="1" ht="20.100000000000001" customHeight="1">
      <c r="P39" s="158"/>
    </row>
    <row r="40" spans="1:17" s="150" customFormat="1" ht="20.100000000000001" customHeight="1">
      <c r="P40" s="158"/>
    </row>
    <row r="41" spans="1:17" s="150" customFormat="1" ht="35.1" customHeight="1">
      <c r="A41" s="878" t="s">
        <v>650</v>
      </c>
      <c r="B41" s="879"/>
      <c r="C41" s="883" t="s">
        <v>706</v>
      </c>
      <c r="D41" s="883"/>
      <c r="E41" s="883"/>
      <c r="F41" s="883"/>
      <c r="G41" s="883"/>
      <c r="H41" s="883"/>
      <c r="I41" s="883"/>
      <c r="J41" s="883"/>
      <c r="K41" s="883"/>
      <c r="L41" s="883"/>
      <c r="M41" s="884"/>
      <c r="P41" s="158"/>
    </row>
    <row r="42" spans="1:17" s="150" customFormat="1" ht="20.100000000000001" customHeight="1">
      <c r="A42" s="247" t="s">
        <v>338</v>
      </c>
      <c r="B42" s="249"/>
      <c r="C42" s="551" t="s">
        <v>648</v>
      </c>
      <c r="D42" s="873" t="s">
        <v>707</v>
      </c>
      <c r="E42" s="874"/>
      <c r="F42" s="874"/>
      <c r="G42" s="874"/>
      <c r="H42" s="874"/>
      <c r="I42" s="874"/>
      <c r="J42" s="874"/>
      <c r="K42" s="874"/>
      <c r="L42" s="874"/>
      <c r="M42" s="875"/>
      <c r="P42" s="158"/>
    </row>
    <row r="43" spans="1:17" s="150" customFormat="1" ht="20.100000000000001" customHeight="1">
      <c r="A43" s="248" t="s">
        <v>340</v>
      </c>
      <c r="B43" s="246"/>
      <c r="C43" s="876" t="s">
        <v>651</v>
      </c>
      <c r="D43" s="876"/>
      <c r="E43" s="876"/>
      <c r="F43" s="876"/>
      <c r="G43" s="876"/>
      <c r="H43" s="876"/>
      <c r="I43" s="876"/>
      <c r="J43" s="876"/>
      <c r="K43" s="876"/>
      <c r="L43" s="876"/>
      <c r="M43" s="877"/>
      <c r="P43" s="158"/>
    </row>
    <row r="44" spans="1:17" s="150" customFormat="1" ht="9.9499999999999993" customHeight="1">
      <c r="P44" s="158"/>
    </row>
    <row r="45" spans="1:17" s="150" customFormat="1" ht="20.100000000000001" customHeight="1">
      <c r="A45" s="161" t="s">
        <v>327</v>
      </c>
      <c r="B45" s="162">
        <v>1</v>
      </c>
      <c r="C45" s="162">
        <v>2</v>
      </c>
      <c r="D45" s="162">
        <v>3</v>
      </c>
      <c r="E45" s="162">
        <v>4</v>
      </c>
      <c r="F45" s="162">
        <v>5</v>
      </c>
      <c r="G45" s="162">
        <v>6</v>
      </c>
      <c r="H45" s="162">
        <v>7</v>
      </c>
      <c r="I45" s="162">
        <v>8</v>
      </c>
      <c r="J45" s="162">
        <v>9</v>
      </c>
      <c r="K45" s="162">
        <v>10</v>
      </c>
      <c r="L45" s="162">
        <v>11</v>
      </c>
      <c r="M45" s="162">
        <v>12</v>
      </c>
    </row>
    <row r="46" spans="1:17" s="150" customFormat="1" ht="20.100000000000001" customHeight="1">
      <c r="A46" s="161" t="s">
        <v>328</v>
      </c>
      <c r="B46" s="566"/>
      <c r="C46" s="566"/>
      <c r="D46" s="566"/>
      <c r="E46" s="566"/>
      <c r="F46" s="566"/>
      <c r="G46" s="164"/>
      <c r="H46" s="164"/>
      <c r="I46" s="164"/>
      <c r="J46" s="164"/>
      <c r="K46" s="164"/>
      <c r="L46" s="164"/>
      <c r="M46" s="164"/>
    </row>
    <row r="47" spans="1:17" s="150" customFormat="1" ht="20.100000000000001" customHeight="1">
      <c r="A47" s="161" t="s">
        <v>329</v>
      </c>
      <c r="B47" s="243">
        <f>F19/12</f>
        <v>0</v>
      </c>
      <c r="C47" s="243">
        <v>0</v>
      </c>
      <c r="D47" s="243">
        <v>0</v>
      </c>
      <c r="E47" s="243">
        <v>0</v>
      </c>
      <c r="F47" s="243">
        <v>0</v>
      </c>
      <c r="G47" s="243">
        <v>0</v>
      </c>
      <c r="H47" s="243">
        <f t="shared" ref="H47:M47" si="0">$D$26/6</f>
        <v>76343.197800794267</v>
      </c>
      <c r="I47" s="243">
        <f t="shared" si="0"/>
        <v>76343.197800794267</v>
      </c>
      <c r="J47" s="243">
        <f t="shared" si="0"/>
        <v>76343.197800794267</v>
      </c>
      <c r="K47" s="243">
        <f t="shared" si="0"/>
        <v>76343.197800794267</v>
      </c>
      <c r="L47" s="243">
        <f t="shared" si="0"/>
        <v>76343.197800794267</v>
      </c>
      <c r="M47" s="243">
        <f t="shared" si="0"/>
        <v>76343.197800794267</v>
      </c>
      <c r="O47" s="563"/>
    </row>
    <row r="48" spans="1:17" s="150" customFormat="1" ht="20.100000000000001" customHeight="1">
      <c r="O48" s="563"/>
    </row>
    <row r="49" spans="1:15" s="150" customFormat="1" ht="20.100000000000001" customHeight="1">
      <c r="A49" s="161" t="s">
        <v>327</v>
      </c>
      <c r="B49" s="162">
        <v>13</v>
      </c>
      <c r="C49" s="162">
        <v>14</v>
      </c>
      <c r="D49" s="162">
        <v>15</v>
      </c>
      <c r="E49" s="162">
        <v>16</v>
      </c>
      <c r="F49" s="162">
        <v>17</v>
      </c>
      <c r="G49" s="162">
        <v>18</v>
      </c>
      <c r="H49" s="162">
        <v>19</v>
      </c>
      <c r="I49" s="162">
        <v>20</v>
      </c>
      <c r="J49" s="162">
        <v>21</v>
      </c>
      <c r="K49" s="162">
        <v>22</v>
      </c>
      <c r="L49" s="162">
        <v>23</v>
      </c>
      <c r="M49" s="162">
        <v>24</v>
      </c>
      <c r="O49" s="563"/>
    </row>
    <row r="50" spans="1:15" s="150" customFormat="1" ht="20.100000000000001" customHeight="1">
      <c r="A50" s="161" t="s">
        <v>328</v>
      </c>
      <c r="B50" s="164"/>
      <c r="C50" s="164"/>
      <c r="D50" s="164"/>
      <c r="E50" s="164"/>
      <c r="F50" s="164"/>
      <c r="G50" s="164"/>
      <c r="H50" s="164"/>
      <c r="I50" s="164"/>
      <c r="J50" s="164"/>
      <c r="K50" s="164"/>
      <c r="L50" s="164"/>
      <c r="M50" s="164"/>
      <c r="O50" s="563"/>
    </row>
    <row r="51" spans="1:15" s="150" customFormat="1" ht="20.100000000000001" customHeight="1">
      <c r="A51" s="161" t="s">
        <v>329</v>
      </c>
      <c r="B51" s="243">
        <f>$F$26/12</f>
        <v>76343.197800794267</v>
      </c>
      <c r="C51" s="243">
        <f t="shared" ref="C51:M51" si="1">$F$26/12</f>
        <v>76343.197800794267</v>
      </c>
      <c r="D51" s="243">
        <f t="shared" si="1"/>
        <v>76343.197800794267</v>
      </c>
      <c r="E51" s="243">
        <f t="shared" si="1"/>
        <v>76343.197800794267</v>
      </c>
      <c r="F51" s="243">
        <f t="shared" si="1"/>
        <v>76343.197800794267</v>
      </c>
      <c r="G51" s="243">
        <f t="shared" si="1"/>
        <v>76343.197800794267</v>
      </c>
      <c r="H51" s="243">
        <f t="shared" si="1"/>
        <v>76343.197800794267</v>
      </c>
      <c r="I51" s="243">
        <f t="shared" si="1"/>
        <v>76343.197800794267</v>
      </c>
      <c r="J51" s="243">
        <f t="shared" si="1"/>
        <v>76343.197800794267</v>
      </c>
      <c r="K51" s="243">
        <f t="shared" si="1"/>
        <v>76343.197800794267</v>
      </c>
      <c r="L51" s="243">
        <f t="shared" si="1"/>
        <v>76343.197800794267</v>
      </c>
      <c r="M51" s="243">
        <f t="shared" si="1"/>
        <v>76343.197800794267</v>
      </c>
      <c r="O51" s="563"/>
    </row>
    <row r="52" spans="1:15" s="150" customFormat="1" ht="20.100000000000001" customHeight="1">
      <c r="O52" s="563"/>
    </row>
    <row r="53" spans="1:15" s="150" customFormat="1" ht="20.100000000000001" customHeight="1">
      <c r="A53" s="161" t="s">
        <v>327</v>
      </c>
      <c r="B53" s="162">
        <v>25</v>
      </c>
      <c r="C53" s="162">
        <v>26</v>
      </c>
      <c r="D53" s="162">
        <v>27</v>
      </c>
      <c r="E53" s="162">
        <v>28</v>
      </c>
      <c r="F53" s="162">
        <v>29</v>
      </c>
      <c r="G53" s="162">
        <v>30</v>
      </c>
      <c r="H53" s="162">
        <v>31</v>
      </c>
      <c r="I53" s="162">
        <v>32</v>
      </c>
      <c r="J53" s="162">
        <v>33</v>
      </c>
      <c r="K53" s="162">
        <v>34</v>
      </c>
      <c r="L53" s="162">
        <v>35</v>
      </c>
      <c r="M53" s="162">
        <v>36</v>
      </c>
      <c r="O53" s="563"/>
    </row>
    <row r="54" spans="1:15" s="150" customFormat="1" ht="20.100000000000001" customHeight="1">
      <c r="A54" s="161" t="s">
        <v>328</v>
      </c>
      <c r="B54" s="164"/>
      <c r="C54" s="164"/>
      <c r="D54" s="164"/>
      <c r="E54" s="164"/>
      <c r="F54" s="164"/>
      <c r="G54" s="164"/>
      <c r="H54" s="164"/>
      <c r="I54" s="164"/>
      <c r="J54" s="164"/>
      <c r="K54" s="164"/>
      <c r="L54" s="164"/>
      <c r="M54" s="164"/>
      <c r="O54" s="563"/>
    </row>
    <row r="55" spans="1:15" s="150" customFormat="1" ht="20.100000000000001" customHeight="1">
      <c r="A55" s="161" t="s">
        <v>329</v>
      </c>
      <c r="B55" s="243">
        <f>$H$26/12</f>
        <v>39698.462856413018</v>
      </c>
      <c r="C55" s="243">
        <f t="shared" ref="C55:M55" si="2">$H$26/12</f>
        <v>39698.462856413018</v>
      </c>
      <c r="D55" s="243">
        <f t="shared" si="2"/>
        <v>39698.462856413018</v>
      </c>
      <c r="E55" s="243">
        <f t="shared" si="2"/>
        <v>39698.462856413018</v>
      </c>
      <c r="F55" s="243">
        <f t="shared" si="2"/>
        <v>39698.462856413018</v>
      </c>
      <c r="G55" s="243">
        <f t="shared" si="2"/>
        <v>39698.462856413018</v>
      </c>
      <c r="H55" s="243">
        <f t="shared" si="2"/>
        <v>39698.462856413018</v>
      </c>
      <c r="I55" s="243">
        <f t="shared" si="2"/>
        <v>39698.462856413018</v>
      </c>
      <c r="J55" s="243">
        <f t="shared" si="2"/>
        <v>39698.462856413018</v>
      </c>
      <c r="K55" s="243">
        <f t="shared" si="2"/>
        <v>39698.462856413018</v>
      </c>
      <c r="L55" s="243">
        <f t="shared" si="2"/>
        <v>39698.462856413018</v>
      </c>
      <c r="M55" s="243">
        <f t="shared" si="2"/>
        <v>39698.462856413018</v>
      </c>
      <c r="O55" s="563"/>
    </row>
    <row r="56" spans="1:15" s="150" customFormat="1" ht="20.100000000000001" customHeight="1">
      <c r="O56" s="563"/>
    </row>
    <row r="57" spans="1:15" s="150" customFormat="1" ht="20.100000000000001" customHeight="1">
      <c r="A57" s="161" t="s">
        <v>327</v>
      </c>
      <c r="B57" s="162">
        <v>37</v>
      </c>
      <c r="C57" s="162">
        <v>38</v>
      </c>
      <c r="D57" s="162">
        <v>39</v>
      </c>
      <c r="E57" s="162">
        <v>40</v>
      </c>
      <c r="F57" s="162">
        <v>41</v>
      </c>
      <c r="G57" s="162">
        <v>42</v>
      </c>
      <c r="H57" s="162">
        <v>43</v>
      </c>
      <c r="I57" s="162">
        <v>44</v>
      </c>
      <c r="J57" s="162">
        <v>45</v>
      </c>
      <c r="K57" s="162">
        <v>46</v>
      </c>
      <c r="L57" s="162">
        <v>47</v>
      </c>
      <c r="M57" s="162">
        <v>48</v>
      </c>
      <c r="O57" s="563"/>
    </row>
    <row r="58" spans="1:15" s="150" customFormat="1" ht="20.100000000000001" customHeight="1">
      <c r="A58" s="161" t="s">
        <v>328</v>
      </c>
      <c r="B58" s="164"/>
      <c r="C58" s="164"/>
      <c r="D58" s="164"/>
      <c r="E58" s="164"/>
      <c r="F58" s="164"/>
      <c r="G58" s="164"/>
      <c r="H58" s="164"/>
      <c r="I58" s="164"/>
      <c r="J58" s="164"/>
      <c r="K58" s="164"/>
      <c r="L58" s="164"/>
      <c r="M58" s="164"/>
      <c r="O58" s="563"/>
    </row>
    <row r="59" spans="1:15" s="150" customFormat="1" ht="20.100000000000001" customHeight="1">
      <c r="A59" s="161" t="s">
        <v>329</v>
      </c>
      <c r="B59" s="243">
        <f>$J$26/12</f>
        <v>41286.40137066954</v>
      </c>
      <c r="C59" s="243">
        <f t="shared" ref="C59:M59" si="3">$J$26/12</f>
        <v>41286.40137066954</v>
      </c>
      <c r="D59" s="243">
        <f t="shared" si="3"/>
        <v>41286.40137066954</v>
      </c>
      <c r="E59" s="243">
        <f t="shared" si="3"/>
        <v>41286.40137066954</v>
      </c>
      <c r="F59" s="243">
        <f t="shared" si="3"/>
        <v>41286.40137066954</v>
      </c>
      <c r="G59" s="243">
        <f t="shared" si="3"/>
        <v>41286.40137066954</v>
      </c>
      <c r="H59" s="243">
        <f t="shared" si="3"/>
        <v>41286.40137066954</v>
      </c>
      <c r="I59" s="243">
        <f t="shared" si="3"/>
        <v>41286.40137066954</v>
      </c>
      <c r="J59" s="243">
        <f t="shared" si="3"/>
        <v>41286.40137066954</v>
      </c>
      <c r="K59" s="243">
        <f t="shared" si="3"/>
        <v>41286.40137066954</v>
      </c>
      <c r="L59" s="243">
        <f t="shared" si="3"/>
        <v>41286.40137066954</v>
      </c>
      <c r="M59" s="243">
        <f t="shared" si="3"/>
        <v>41286.40137066954</v>
      </c>
      <c r="O59" s="563"/>
    </row>
    <row r="60" spans="1:15" s="150" customFormat="1" ht="20.100000000000001" customHeight="1">
      <c r="O60" s="563"/>
    </row>
    <row r="61" spans="1:15" s="150" customFormat="1" ht="20.100000000000001" customHeight="1">
      <c r="A61" s="161" t="s">
        <v>327</v>
      </c>
      <c r="B61" s="162">
        <v>49</v>
      </c>
      <c r="C61" s="162">
        <v>50</v>
      </c>
      <c r="D61" s="162">
        <v>51</v>
      </c>
      <c r="E61" s="162">
        <v>52</v>
      </c>
      <c r="F61" s="162">
        <v>53</v>
      </c>
      <c r="G61" s="162">
        <v>54</v>
      </c>
      <c r="H61" s="162">
        <v>55</v>
      </c>
      <c r="I61" s="162">
        <v>56</v>
      </c>
      <c r="J61" s="162">
        <v>57</v>
      </c>
      <c r="K61" s="162">
        <v>58</v>
      </c>
      <c r="L61" s="162">
        <v>59</v>
      </c>
      <c r="M61" s="162">
        <v>60</v>
      </c>
      <c r="O61" s="563"/>
    </row>
    <row r="62" spans="1:15" s="150" customFormat="1" ht="20.100000000000001" customHeight="1">
      <c r="A62" s="161" t="s">
        <v>328</v>
      </c>
      <c r="B62" s="164"/>
      <c r="C62" s="164"/>
      <c r="D62" s="164"/>
      <c r="E62" s="164"/>
      <c r="F62" s="164"/>
      <c r="G62" s="164"/>
      <c r="H62" s="164"/>
      <c r="I62" s="164"/>
      <c r="J62" s="164"/>
      <c r="K62" s="164"/>
      <c r="L62" s="164"/>
      <c r="M62" s="164"/>
      <c r="O62" s="563"/>
    </row>
    <row r="63" spans="1:15" s="150" customFormat="1" ht="20.100000000000001" customHeight="1">
      <c r="A63" s="161" t="s">
        <v>329</v>
      </c>
      <c r="B63" s="243">
        <f>$L$26/12</f>
        <v>42937.857425496324</v>
      </c>
      <c r="C63" s="243">
        <f t="shared" ref="C63:M63" si="4">$L$26/12</f>
        <v>42937.857425496324</v>
      </c>
      <c r="D63" s="243">
        <f t="shared" si="4"/>
        <v>42937.857425496324</v>
      </c>
      <c r="E63" s="243">
        <f t="shared" si="4"/>
        <v>42937.857425496324</v>
      </c>
      <c r="F63" s="243">
        <f t="shared" si="4"/>
        <v>42937.857425496324</v>
      </c>
      <c r="G63" s="243">
        <f t="shared" si="4"/>
        <v>42937.857425496324</v>
      </c>
      <c r="H63" s="243">
        <f t="shared" si="4"/>
        <v>42937.857425496324</v>
      </c>
      <c r="I63" s="243">
        <f t="shared" si="4"/>
        <v>42937.857425496324</v>
      </c>
      <c r="J63" s="243">
        <f t="shared" si="4"/>
        <v>42937.857425496324</v>
      </c>
      <c r="K63" s="243">
        <f t="shared" si="4"/>
        <v>42937.857425496324</v>
      </c>
      <c r="L63" s="243">
        <f t="shared" si="4"/>
        <v>42937.857425496324</v>
      </c>
      <c r="M63" s="243">
        <f t="shared" si="4"/>
        <v>42937.857425496324</v>
      </c>
      <c r="O63" s="563"/>
    </row>
    <row r="64" spans="1:15" s="150" customFormat="1" ht="20.100000000000001" customHeight="1">
      <c r="O64" s="563"/>
    </row>
    <row r="65" s="150" customFormat="1" ht="20.100000000000001" customHeight="1"/>
  </sheetData>
  <mergeCells count="66">
    <mergeCell ref="A12:C12"/>
    <mergeCell ref="D12:M12"/>
    <mergeCell ref="A1:M1"/>
    <mergeCell ref="D3:M3"/>
    <mergeCell ref="A4:C4"/>
    <mergeCell ref="D4:M4"/>
    <mergeCell ref="D6:M6"/>
    <mergeCell ref="A7:C7"/>
    <mergeCell ref="D7:M7"/>
    <mergeCell ref="A8:C8"/>
    <mergeCell ref="D8:M8"/>
    <mergeCell ref="A9:C9"/>
    <mergeCell ref="D9:M9"/>
    <mergeCell ref="D11:M11"/>
    <mergeCell ref="A13:C13"/>
    <mergeCell ref="D13:M13"/>
    <mergeCell ref="A14:C14"/>
    <mergeCell ref="D14:M14"/>
    <mergeCell ref="A15:C15"/>
    <mergeCell ref="D15:M15"/>
    <mergeCell ref="A16:C16"/>
    <mergeCell ref="D16:M16"/>
    <mergeCell ref="A17:C17"/>
    <mergeCell ref="D17:M17"/>
    <mergeCell ref="A18:C18"/>
    <mergeCell ref="D18:M18"/>
    <mergeCell ref="L23:M23"/>
    <mergeCell ref="A19:C19"/>
    <mergeCell ref="D19:M19"/>
    <mergeCell ref="A20:C20"/>
    <mergeCell ref="D20:M20"/>
    <mergeCell ref="B22:C22"/>
    <mergeCell ref="D22:E22"/>
    <mergeCell ref="F22:G22"/>
    <mergeCell ref="H22:I22"/>
    <mergeCell ref="J22:K22"/>
    <mergeCell ref="L22:M22"/>
    <mergeCell ref="B23:C23"/>
    <mergeCell ref="D23:E23"/>
    <mergeCell ref="F23:G23"/>
    <mergeCell ref="H23:I23"/>
    <mergeCell ref="J23:K23"/>
    <mergeCell ref="L26:M26"/>
    <mergeCell ref="B25:C25"/>
    <mergeCell ref="D25:E25"/>
    <mergeCell ref="F25:G25"/>
    <mergeCell ref="H25:I25"/>
    <mergeCell ref="J25:K25"/>
    <mergeCell ref="L25:M25"/>
    <mergeCell ref="B26:C26"/>
    <mergeCell ref="D26:E26"/>
    <mergeCell ref="F26:G26"/>
    <mergeCell ref="H26:I26"/>
    <mergeCell ref="J26:K26"/>
    <mergeCell ref="A31:M31"/>
    <mergeCell ref="D33:M33"/>
    <mergeCell ref="D34:M34"/>
    <mergeCell ref="D35:M35"/>
    <mergeCell ref="D36:M36"/>
    <mergeCell ref="C43:M43"/>
    <mergeCell ref="A37:B37"/>
    <mergeCell ref="A38:B38"/>
    <mergeCell ref="C38:M38"/>
    <mergeCell ref="A41:B41"/>
    <mergeCell ref="C41:M41"/>
    <mergeCell ref="D42:M42"/>
  </mergeCells>
  <printOptions horizontalCentered="1"/>
  <pageMargins left="0.51181102362204722" right="0.51181102362204722" top="0.78740157480314965" bottom="0.78740157480314965" header="0.31496062992125984" footer="0.31496062992125984"/>
  <pageSetup paperSize="9" scale="93" orientation="portrait" r:id="rId1"/>
  <headerFooter>
    <oddFooter>&amp;L&amp;F&amp;C&amp;A&amp;R&amp;P/&amp;N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40"/>
  <sheetViews>
    <sheetView topLeftCell="A16" zoomScale="124" workbookViewId="0">
      <selection activeCell="C9" sqref="C9"/>
    </sheetView>
  </sheetViews>
  <sheetFormatPr defaultRowHeight="15"/>
  <cols>
    <col min="1" max="3" width="11.875" style="130" customWidth="1"/>
    <col min="4" max="4" width="54.125" style="130" customWidth="1"/>
    <col min="5" max="6" width="11.125" style="130" customWidth="1"/>
    <col min="7" max="16384" width="9" style="130"/>
  </cols>
  <sheetData>
    <row r="1" spans="1:6" s="129" customFormat="1" ht="39.950000000000003" customHeight="1">
      <c r="A1" s="804" t="s">
        <v>958</v>
      </c>
      <c r="B1" s="804"/>
      <c r="C1" s="804"/>
      <c r="D1" s="804"/>
      <c r="E1" s="804"/>
      <c r="F1" s="804"/>
    </row>
    <row r="2" spans="1:6">
      <c r="A2" s="443" t="s">
        <v>413</v>
      </c>
      <c r="B2" s="443"/>
      <c r="C2" s="443"/>
      <c r="D2" s="443"/>
      <c r="E2" s="444" t="s">
        <v>1</v>
      </c>
      <c r="F2" s="821" t="s">
        <v>2</v>
      </c>
    </row>
    <row r="3" spans="1:6">
      <c r="A3" s="443"/>
      <c r="B3" s="443"/>
      <c r="C3" s="443"/>
      <c r="D3" s="443"/>
      <c r="E3" s="444" t="s">
        <v>173</v>
      </c>
      <c r="F3" s="821"/>
    </row>
    <row r="4" spans="1:6" s="129" customFormat="1">
      <c r="A4" s="822" t="s">
        <v>414</v>
      </c>
      <c r="B4" s="822"/>
      <c r="C4" s="822"/>
      <c r="D4" s="822"/>
      <c r="E4" s="445">
        <f>'PAP 2021 a 2025'!E5</f>
        <v>144649010.75999999</v>
      </c>
      <c r="F4" s="533">
        <f>E4/E4</f>
        <v>1</v>
      </c>
    </row>
    <row r="5" spans="1:6" ht="5.0999999999999996" customHeight="1"/>
    <row r="6" spans="1:6">
      <c r="A6" s="443" t="s">
        <v>190</v>
      </c>
      <c r="B6" s="443" t="s">
        <v>415</v>
      </c>
      <c r="C6" s="443" t="s">
        <v>193</v>
      </c>
      <c r="D6" s="443"/>
      <c r="E6" s="444" t="s">
        <v>1</v>
      </c>
      <c r="F6" s="821" t="s">
        <v>2</v>
      </c>
    </row>
    <row r="7" spans="1:6">
      <c r="A7" s="443"/>
      <c r="B7" s="443"/>
      <c r="C7" s="443"/>
      <c r="D7" s="443"/>
      <c r="E7" s="444" t="s">
        <v>173</v>
      </c>
      <c r="F7" s="821"/>
    </row>
    <row r="8" spans="1:6" ht="5.0999999999999996" customHeight="1"/>
    <row r="9" spans="1:6">
      <c r="A9" s="446">
        <v>1</v>
      </c>
      <c r="B9" s="447" t="str">
        <f>B16</f>
        <v>GESTÃO DE RECURSOS HÍDRICOS</v>
      </c>
      <c r="C9" s="447"/>
      <c r="D9" s="447"/>
      <c r="E9" s="448">
        <f>E16</f>
        <v>58865000</v>
      </c>
      <c r="F9" s="534">
        <f t="shared" ref="F9" si="0">F16</f>
        <v>0.40695058770717679</v>
      </c>
    </row>
    <row r="10" spans="1:6">
      <c r="A10" s="449">
        <v>2</v>
      </c>
      <c r="B10" s="450" t="str">
        <f>B29</f>
        <v>AGENDA SETORIAL</v>
      </c>
      <c r="C10" s="451"/>
      <c r="D10" s="451"/>
      <c r="E10" s="452">
        <f>E29</f>
        <v>72000000</v>
      </c>
      <c r="F10" s="535">
        <f>F29</f>
        <v>0.4977566009499147</v>
      </c>
    </row>
    <row r="11" spans="1:6">
      <c r="A11" s="453">
        <v>3</v>
      </c>
      <c r="B11" s="454" t="str">
        <f>B34</f>
        <v>APOIO AO COMITÊ DE BACIA HIDROGRÁFICA</v>
      </c>
      <c r="C11" s="455"/>
      <c r="D11" s="455"/>
      <c r="E11" s="456">
        <f>E34</f>
        <v>6750000</v>
      </c>
      <c r="F11" s="536">
        <f>F34</f>
        <v>4.6664681339054499E-2</v>
      </c>
    </row>
    <row r="12" spans="1:6">
      <c r="A12" s="457">
        <v>4</v>
      </c>
      <c r="B12" s="458" t="str">
        <f>B37</f>
        <v>MANUTENÇÃO DO COMITÊ DE BACIA HIDROGRÁFICA E DA ENTIDADE DELEGATÁRIA</v>
      </c>
      <c r="C12" s="459"/>
      <c r="D12" s="459"/>
      <c r="E12" s="460">
        <f>E37</f>
        <v>7034010.9073305605</v>
      </c>
      <c r="F12" s="537">
        <f>F37</f>
        <v>4.8628130003853957E-2</v>
      </c>
    </row>
    <row r="13" spans="1:6" ht="5.0999999999999996" customHeight="1"/>
    <row r="14" spans="1:6">
      <c r="A14" s="443"/>
      <c r="B14" s="443" t="s">
        <v>228</v>
      </c>
      <c r="C14" s="443"/>
      <c r="D14" s="443"/>
      <c r="E14" s="461">
        <f>SUM(E9:E12)</f>
        <v>144649010.90733057</v>
      </c>
      <c r="F14" s="538">
        <f>SUM(F9:F12)</f>
        <v>0.99999999999999989</v>
      </c>
    </row>
    <row r="15" spans="1:6">
      <c r="F15" s="150"/>
    </row>
    <row r="16" spans="1:6">
      <c r="A16" s="463" t="s">
        <v>190</v>
      </c>
      <c r="B16" s="823" t="s">
        <v>191</v>
      </c>
      <c r="C16" s="824"/>
      <c r="D16" s="824"/>
      <c r="E16" s="464">
        <f>E17+E18+E19+E20+E21+E22+E23+E24+E25+E27</f>
        <v>58865000</v>
      </c>
      <c r="F16" s="539">
        <f>E16/$E$14</f>
        <v>0.40695058770717679</v>
      </c>
    </row>
    <row r="17" spans="1:6">
      <c r="A17" s="465">
        <v>1</v>
      </c>
      <c r="B17" s="465">
        <v>1</v>
      </c>
      <c r="C17" s="813" t="s">
        <v>351</v>
      </c>
      <c r="D17" s="814"/>
      <c r="E17" s="475">
        <f>'PAP 2021 a 2025'!E18</f>
        <v>450000</v>
      </c>
      <c r="F17" s="540">
        <f>E17/$E$14</f>
        <v>3.1109787559369666E-3</v>
      </c>
    </row>
    <row r="18" spans="1:6">
      <c r="A18" s="465">
        <v>1</v>
      </c>
      <c r="B18" s="465">
        <v>2</v>
      </c>
      <c r="C18" s="813" t="s">
        <v>422</v>
      </c>
      <c r="D18" s="814"/>
      <c r="E18" s="475">
        <v>0</v>
      </c>
      <c r="F18" s="540">
        <f t="shared" ref="F18:F26" si="1">E18/$E$14</f>
        <v>0</v>
      </c>
    </row>
    <row r="19" spans="1:6">
      <c r="A19" s="465">
        <v>1</v>
      </c>
      <c r="B19" s="466">
        <v>3</v>
      </c>
      <c r="C19" s="813" t="s">
        <v>431</v>
      </c>
      <c r="D19" s="814"/>
      <c r="E19" s="475">
        <v>0</v>
      </c>
      <c r="F19" s="540">
        <f t="shared" si="1"/>
        <v>0</v>
      </c>
    </row>
    <row r="20" spans="1:6">
      <c r="A20" s="465">
        <v>1</v>
      </c>
      <c r="B20" s="466">
        <v>4</v>
      </c>
      <c r="C20" s="813" t="s">
        <v>440</v>
      </c>
      <c r="D20" s="814"/>
      <c r="E20" s="475">
        <f>'PAP 2021 a 2025'!E47</f>
        <v>3250000</v>
      </c>
      <c r="F20" s="540">
        <f t="shared" si="1"/>
        <v>2.2468179903989204E-2</v>
      </c>
    </row>
    <row r="21" spans="1:6">
      <c r="A21" s="465">
        <v>1</v>
      </c>
      <c r="B21" s="466">
        <v>5</v>
      </c>
      <c r="C21" s="813" t="s">
        <v>287</v>
      </c>
      <c r="D21" s="814"/>
      <c r="E21" s="475">
        <v>0</v>
      </c>
      <c r="F21" s="540">
        <f t="shared" si="1"/>
        <v>0</v>
      </c>
    </row>
    <row r="22" spans="1:6">
      <c r="A22" s="465">
        <v>1</v>
      </c>
      <c r="B22" s="466">
        <v>6</v>
      </c>
      <c r="C22" s="813" t="s">
        <v>451</v>
      </c>
      <c r="D22" s="814"/>
      <c r="E22" s="475">
        <v>0</v>
      </c>
      <c r="F22" s="540">
        <f t="shared" si="1"/>
        <v>0</v>
      </c>
    </row>
    <row r="23" spans="1:6">
      <c r="A23" s="465">
        <v>1</v>
      </c>
      <c r="B23" s="466">
        <v>7</v>
      </c>
      <c r="C23" s="813" t="s">
        <v>454</v>
      </c>
      <c r="D23" s="814"/>
      <c r="E23" s="475">
        <v>0</v>
      </c>
      <c r="F23" s="540">
        <f t="shared" si="1"/>
        <v>0</v>
      </c>
    </row>
    <row r="24" spans="1:6">
      <c r="A24" s="465">
        <v>1</v>
      </c>
      <c r="B24" s="466">
        <v>8</v>
      </c>
      <c r="C24" s="813" t="s">
        <v>467</v>
      </c>
      <c r="D24" s="814"/>
      <c r="E24" s="475">
        <f>'PAP 2021 a 2025'!E81</f>
        <v>52070000</v>
      </c>
      <c r="F24" s="540">
        <f t="shared" si="1"/>
        <v>0.35997480849252855</v>
      </c>
    </row>
    <row r="25" spans="1:6">
      <c r="A25" s="465">
        <v>1</v>
      </c>
      <c r="B25" s="466">
        <v>9</v>
      </c>
      <c r="C25" s="815" t="s">
        <v>482</v>
      </c>
      <c r="D25" s="816"/>
      <c r="E25" s="475">
        <v>0</v>
      </c>
      <c r="F25" s="540">
        <f t="shared" si="1"/>
        <v>0</v>
      </c>
    </row>
    <row r="26" spans="1:6">
      <c r="A26" s="465">
        <v>1</v>
      </c>
      <c r="B26" s="466">
        <v>10</v>
      </c>
      <c r="C26" s="813" t="s">
        <v>489</v>
      </c>
      <c r="D26" s="814"/>
      <c r="E26" s="475">
        <v>0</v>
      </c>
      <c r="F26" s="540">
        <f t="shared" si="1"/>
        <v>0</v>
      </c>
    </row>
    <row r="27" spans="1:6">
      <c r="A27" s="465">
        <v>1</v>
      </c>
      <c r="B27" s="466">
        <v>11</v>
      </c>
      <c r="C27" s="813" t="s">
        <v>498</v>
      </c>
      <c r="D27" s="814"/>
      <c r="E27" s="475">
        <f>'PAP 2021 a 2025'!E115</f>
        <v>3095000</v>
      </c>
      <c r="F27" s="540">
        <f>E27/$E$14</f>
        <v>2.1396620554722027E-2</v>
      </c>
    </row>
    <row r="28" spans="1:6" ht="5.0999999999999996" customHeight="1"/>
    <row r="29" spans="1:6">
      <c r="A29" s="491" t="s">
        <v>190</v>
      </c>
      <c r="B29" s="817" t="s">
        <v>512</v>
      </c>
      <c r="C29" s="818"/>
      <c r="D29" s="818"/>
      <c r="E29" s="492">
        <f>E30+E31+E32</f>
        <v>72000000</v>
      </c>
      <c r="F29" s="541">
        <f>F30+F31+F32</f>
        <v>0.4977566009499147</v>
      </c>
    </row>
    <row r="30" spans="1:6">
      <c r="A30" s="493">
        <v>2</v>
      </c>
      <c r="B30" s="494">
        <v>1</v>
      </c>
      <c r="C30" s="819" t="s">
        <v>513</v>
      </c>
      <c r="D30" s="820"/>
      <c r="E30" s="495">
        <f>'PAP 2021 a 2025'!E127</f>
        <v>24280000</v>
      </c>
      <c r="F30" s="542">
        <f>E30/$E$14</f>
        <v>0.16785458709811013</v>
      </c>
    </row>
    <row r="31" spans="1:6">
      <c r="A31" s="506">
        <v>2</v>
      </c>
      <c r="B31" s="494">
        <v>2</v>
      </c>
      <c r="C31" s="805" t="s">
        <v>542</v>
      </c>
      <c r="D31" s="806"/>
      <c r="E31" s="495">
        <f>'PAP 2021 a 2025'!E149</f>
        <v>5250000</v>
      </c>
      <c r="F31" s="542">
        <f t="shared" ref="F31:F32" si="2">E31/$E$14</f>
        <v>3.6294752152597948E-2</v>
      </c>
    </row>
    <row r="32" spans="1:6">
      <c r="A32" s="506">
        <v>2</v>
      </c>
      <c r="B32" s="494">
        <v>3</v>
      </c>
      <c r="C32" s="805" t="s">
        <v>560</v>
      </c>
      <c r="D32" s="806"/>
      <c r="E32" s="495">
        <f>'PAP 2021 a 2025'!E160</f>
        <v>42470000</v>
      </c>
      <c r="F32" s="542">
        <f t="shared" si="2"/>
        <v>0.29360726169920665</v>
      </c>
    </row>
    <row r="33" spans="1:6" ht="5.0999999999999996" customHeight="1"/>
    <row r="34" spans="1:6">
      <c r="A34" s="507" t="s">
        <v>190</v>
      </c>
      <c r="B34" s="807" t="s">
        <v>576</v>
      </c>
      <c r="C34" s="808"/>
      <c r="D34" s="808"/>
      <c r="E34" s="508">
        <f>E35</f>
        <v>6750000</v>
      </c>
      <c r="F34" s="543">
        <f t="shared" ref="F34" si="3">F35</f>
        <v>4.6664681339054499E-2</v>
      </c>
    </row>
    <row r="35" spans="1:6">
      <c r="A35" s="509">
        <v>3</v>
      </c>
      <c r="B35" s="510">
        <v>1</v>
      </c>
      <c r="C35" s="809" t="s">
        <v>577</v>
      </c>
      <c r="D35" s="810"/>
      <c r="E35" s="511">
        <f>'PAP 2021 a 2025'!E175</f>
        <v>6750000</v>
      </c>
      <c r="F35" s="544">
        <f>E35/$E$14</f>
        <v>4.6664681339054499E-2</v>
      </c>
    </row>
    <row r="36" spans="1:6" ht="5.0999999999999996" customHeight="1"/>
    <row r="37" spans="1:6">
      <c r="A37" s="517" t="s">
        <v>190</v>
      </c>
      <c r="B37" s="811" t="s">
        <v>591</v>
      </c>
      <c r="C37" s="812"/>
      <c r="D37" s="812"/>
      <c r="E37" s="518">
        <f>E38+E39</f>
        <v>7034010.9073305605</v>
      </c>
      <c r="F37" s="545">
        <f>F38+F39</f>
        <v>4.8628130003853957E-2</v>
      </c>
    </row>
    <row r="38" spans="1:6">
      <c r="A38" s="519">
        <v>4</v>
      </c>
      <c r="B38" s="520">
        <v>1</v>
      </c>
      <c r="C38" s="802" t="s">
        <v>592</v>
      </c>
      <c r="D38" s="803"/>
      <c r="E38" s="546">
        <v>0</v>
      </c>
      <c r="F38" s="547">
        <f>E38/$E$14</f>
        <v>0</v>
      </c>
    </row>
    <row r="39" spans="1:6">
      <c r="A39" s="519">
        <v>4</v>
      </c>
      <c r="B39" s="520">
        <v>2</v>
      </c>
      <c r="C39" s="802" t="s">
        <v>595</v>
      </c>
      <c r="D39" s="803"/>
      <c r="E39" s="523">
        <f>'PAP 2021 a 2025'!E190</f>
        <v>7034010.9073305605</v>
      </c>
      <c r="F39" s="547">
        <f>E39/$E$14</f>
        <v>4.8628130003853957E-2</v>
      </c>
    </row>
    <row r="40" spans="1:6">
      <c r="F40" s="462"/>
    </row>
  </sheetData>
  <mergeCells count="25">
    <mergeCell ref="C20:D20"/>
    <mergeCell ref="C21:D21"/>
    <mergeCell ref="C22:D22"/>
    <mergeCell ref="C23:D23"/>
    <mergeCell ref="F2:F3"/>
    <mergeCell ref="A4:D4"/>
    <mergeCell ref="F6:F7"/>
    <mergeCell ref="B16:D16"/>
    <mergeCell ref="C17:D17"/>
    <mergeCell ref="C39:D39"/>
    <mergeCell ref="A1:F1"/>
    <mergeCell ref="C31:D31"/>
    <mergeCell ref="C32:D32"/>
    <mergeCell ref="B34:D34"/>
    <mergeCell ref="C35:D35"/>
    <mergeCell ref="B37:D37"/>
    <mergeCell ref="C38:D38"/>
    <mergeCell ref="C24:D24"/>
    <mergeCell ref="C25:D25"/>
    <mergeCell ref="C26:D26"/>
    <mergeCell ref="C27:D27"/>
    <mergeCell ref="B29:D29"/>
    <mergeCell ref="C30:D30"/>
    <mergeCell ref="C18:D18"/>
    <mergeCell ref="C19:D19"/>
  </mergeCells>
  <printOptions horizontalCentered="1"/>
  <pageMargins left="0.51181102362204722" right="0.51181102362204722" top="0.78740157480314965" bottom="0.78740157480314965" header="0.31496062992125984" footer="0.31496062992125984"/>
  <pageSetup paperSize="9" scale="89" orientation="landscape" r:id="rId1"/>
  <headerFooter>
    <oddFooter>&amp;L&amp;F&amp;C&amp;A&amp;R&amp;P/&amp;N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Q63"/>
  <sheetViews>
    <sheetView topLeftCell="A13" workbookViewId="0">
      <selection activeCell="E40" sqref="E40"/>
    </sheetView>
  </sheetViews>
  <sheetFormatPr defaultRowHeight="15"/>
  <cols>
    <col min="1" max="1" width="10.125" style="130" customWidth="1"/>
    <col min="2" max="13" width="6.625" style="130" customWidth="1"/>
    <col min="14" max="17" width="9" style="130"/>
    <col min="18" max="18" width="43.25" style="130" customWidth="1"/>
    <col min="19" max="16384" width="9" style="130"/>
  </cols>
  <sheetData>
    <row r="1" spans="1:13" s="129" customFormat="1" ht="39.950000000000003" customHeight="1">
      <c r="A1" s="804" t="s">
        <v>796</v>
      </c>
      <c r="B1" s="804"/>
      <c r="C1" s="804"/>
      <c r="D1" s="804"/>
      <c r="E1" s="804"/>
      <c r="F1" s="804"/>
      <c r="G1" s="804"/>
      <c r="H1" s="804"/>
      <c r="I1" s="804"/>
      <c r="J1" s="804"/>
      <c r="K1" s="804"/>
      <c r="L1" s="804"/>
      <c r="M1" s="804"/>
    </row>
    <row r="3" spans="1:13" ht="20.100000000000001" customHeight="1">
      <c r="A3" s="132" t="s">
        <v>190</v>
      </c>
      <c r="B3" s="152"/>
      <c r="C3" s="133">
        <v>1</v>
      </c>
      <c r="D3" s="901" t="s">
        <v>312</v>
      </c>
      <c r="E3" s="902"/>
      <c r="F3" s="902"/>
      <c r="G3" s="902"/>
      <c r="H3" s="902"/>
      <c r="I3" s="902"/>
      <c r="J3" s="902"/>
      <c r="K3" s="902"/>
      <c r="L3" s="902"/>
      <c r="M3" s="903"/>
    </row>
    <row r="4" spans="1:13" ht="45" customHeight="1">
      <c r="A4" s="896" t="s">
        <v>294</v>
      </c>
      <c r="B4" s="896"/>
      <c r="C4" s="896"/>
      <c r="D4" s="897" t="s">
        <v>286</v>
      </c>
      <c r="E4" s="897"/>
      <c r="F4" s="897"/>
      <c r="G4" s="897"/>
      <c r="H4" s="897"/>
      <c r="I4" s="897"/>
      <c r="J4" s="897"/>
      <c r="K4" s="897"/>
      <c r="L4" s="897"/>
      <c r="M4" s="897"/>
    </row>
    <row r="6" spans="1:13" ht="20.100000000000001" customHeight="1">
      <c r="A6" s="132" t="s">
        <v>192</v>
      </c>
      <c r="B6" s="152"/>
      <c r="C6" s="133">
        <v>11</v>
      </c>
      <c r="D6" s="924" t="s">
        <v>498</v>
      </c>
      <c r="E6" s="924"/>
      <c r="F6" s="924"/>
      <c r="G6" s="924"/>
      <c r="H6" s="924"/>
      <c r="I6" s="924"/>
      <c r="J6" s="924"/>
      <c r="K6" s="924"/>
      <c r="L6" s="924"/>
      <c r="M6" s="924"/>
    </row>
    <row r="7" spans="1:13" ht="45" customHeight="1">
      <c r="A7" s="896" t="s">
        <v>291</v>
      </c>
      <c r="B7" s="896"/>
      <c r="C7" s="896"/>
      <c r="D7" s="897" t="s">
        <v>714</v>
      </c>
      <c r="E7" s="897"/>
      <c r="F7" s="897"/>
      <c r="G7" s="897"/>
      <c r="H7" s="897"/>
      <c r="I7" s="897"/>
      <c r="J7" s="897"/>
      <c r="K7" s="897"/>
      <c r="L7" s="897"/>
      <c r="M7" s="897"/>
    </row>
    <row r="8" spans="1:13" ht="64.5" customHeight="1">
      <c r="A8" s="896" t="s">
        <v>293</v>
      </c>
      <c r="B8" s="896"/>
      <c r="C8" s="896"/>
      <c r="D8" s="897" t="s">
        <v>715</v>
      </c>
      <c r="E8" s="897"/>
      <c r="F8" s="897"/>
      <c r="G8" s="897"/>
      <c r="H8" s="897"/>
      <c r="I8" s="897"/>
      <c r="J8" s="897"/>
      <c r="K8" s="897"/>
      <c r="L8" s="897"/>
      <c r="M8" s="897"/>
    </row>
    <row r="9" spans="1:13" ht="30" customHeight="1">
      <c r="A9" s="896" t="s">
        <v>292</v>
      </c>
      <c r="B9" s="896"/>
      <c r="C9" s="896"/>
      <c r="D9" s="897" t="s">
        <v>716</v>
      </c>
      <c r="E9" s="897"/>
      <c r="F9" s="897"/>
      <c r="G9" s="897"/>
      <c r="H9" s="897"/>
      <c r="I9" s="897"/>
      <c r="J9" s="897"/>
      <c r="K9" s="897"/>
      <c r="L9" s="897"/>
      <c r="M9" s="897"/>
    </row>
    <row r="11" spans="1:13" ht="30" customHeight="1">
      <c r="A11" s="132" t="s">
        <v>193</v>
      </c>
      <c r="B11" s="152"/>
      <c r="C11" s="133">
        <v>4</v>
      </c>
      <c r="D11" s="925" t="s">
        <v>509</v>
      </c>
      <c r="E11" s="926"/>
      <c r="F11" s="926"/>
      <c r="G11" s="926"/>
      <c r="H11" s="926"/>
      <c r="I11" s="926"/>
      <c r="J11" s="926"/>
      <c r="K11" s="926"/>
      <c r="L11" s="926"/>
      <c r="M11" s="914"/>
    </row>
    <row r="12" spans="1:13" s="150" customFormat="1" ht="20.100000000000001" customHeight="1">
      <c r="A12" s="898" t="s">
        <v>308</v>
      </c>
      <c r="B12" s="899"/>
      <c r="C12" s="900"/>
      <c r="D12" s="897" t="s">
        <v>508</v>
      </c>
      <c r="E12" s="897"/>
      <c r="F12" s="897"/>
      <c r="G12" s="897"/>
      <c r="H12" s="897"/>
      <c r="I12" s="897"/>
      <c r="J12" s="897"/>
      <c r="K12" s="897"/>
      <c r="L12" s="897"/>
      <c r="M12" s="897"/>
    </row>
    <row r="13" spans="1:13" ht="30" customHeight="1">
      <c r="A13" s="896" t="s">
        <v>296</v>
      </c>
      <c r="B13" s="896"/>
      <c r="C13" s="896"/>
      <c r="D13" s="897" t="s">
        <v>735</v>
      </c>
      <c r="E13" s="897"/>
      <c r="F13" s="897"/>
      <c r="G13" s="897"/>
      <c r="H13" s="897"/>
      <c r="I13" s="897"/>
      <c r="J13" s="897"/>
      <c r="K13" s="897"/>
      <c r="L13" s="897"/>
      <c r="M13" s="897"/>
    </row>
    <row r="14" spans="1:13" ht="20.100000000000001" customHeight="1">
      <c r="A14" s="896" t="s">
        <v>311</v>
      </c>
      <c r="B14" s="896"/>
      <c r="C14" s="896"/>
      <c r="D14" s="897" t="s">
        <v>736</v>
      </c>
      <c r="E14" s="897"/>
      <c r="F14" s="897"/>
      <c r="G14" s="897"/>
      <c r="H14" s="897"/>
      <c r="I14" s="897"/>
      <c r="J14" s="897"/>
      <c r="K14" s="897"/>
      <c r="L14" s="897"/>
      <c r="M14" s="897"/>
    </row>
    <row r="15" spans="1:13" s="150" customFormat="1" ht="20.100000000000001" customHeight="1">
      <c r="A15" s="898" t="s">
        <v>305</v>
      </c>
      <c r="B15" s="899"/>
      <c r="C15" s="900"/>
      <c r="D15" s="897" t="s">
        <v>654</v>
      </c>
      <c r="E15" s="897"/>
      <c r="F15" s="897"/>
      <c r="G15" s="897"/>
      <c r="H15" s="897"/>
      <c r="I15" s="897"/>
      <c r="J15" s="897"/>
      <c r="K15" s="897"/>
      <c r="L15" s="897"/>
      <c r="M15" s="897"/>
    </row>
    <row r="16" spans="1:13" ht="65.25" customHeight="1">
      <c r="A16" s="896" t="s">
        <v>297</v>
      </c>
      <c r="B16" s="896"/>
      <c r="C16" s="896"/>
      <c r="D16" s="897" t="s">
        <v>732</v>
      </c>
      <c r="E16" s="897"/>
      <c r="F16" s="897"/>
      <c r="G16" s="897"/>
      <c r="H16" s="897"/>
      <c r="I16" s="897"/>
      <c r="J16" s="897"/>
      <c r="K16" s="897"/>
      <c r="L16" s="897"/>
      <c r="M16" s="897"/>
    </row>
    <row r="17" spans="1:13" ht="77.25" customHeight="1">
      <c r="A17" s="896" t="s">
        <v>299</v>
      </c>
      <c r="B17" s="896"/>
      <c r="C17" s="896"/>
      <c r="D17" s="897" t="s">
        <v>733</v>
      </c>
      <c r="E17" s="897"/>
      <c r="F17" s="897"/>
      <c r="G17" s="897"/>
      <c r="H17" s="897"/>
      <c r="I17" s="897"/>
      <c r="J17" s="897"/>
      <c r="K17" s="897"/>
      <c r="L17" s="897"/>
      <c r="M17" s="897"/>
    </row>
    <row r="18" spans="1:13" ht="30" customHeight="1">
      <c r="A18" s="896" t="s">
        <v>292</v>
      </c>
      <c r="B18" s="896"/>
      <c r="C18" s="896"/>
      <c r="D18" s="897" t="s">
        <v>710</v>
      </c>
      <c r="E18" s="897"/>
      <c r="F18" s="897"/>
      <c r="G18" s="897"/>
      <c r="H18" s="897"/>
      <c r="I18" s="897"/>
      <c r="J18" s="897"/>
      <c r="K18" s="897"/>
      <c r="L18" s="897"/>
      <c r="M18" s="897"/>
    </row>
    <row r="19" spans="1:13" ht="20.100000000000001" customHeight="1">
      <c r="A19" s="896" t="s">
        <v>302</v>
      </c>
      <c r="B19" s="896"/>
      <c r="C19" s="896"/>
      <c r="D19" s="897" t="s">
        <v>734</v>
      </c>
      <c r="E19" s="897"/>
      <c r="F19" s="897"/>
      <c r="G19" s="897"/>
      <c r="H19" s="897"/>
      <c r="I19" s="897"/>
      <c r="J19" s="897"/>
      <c r="K19" s="897"/>
      <c r="L19" s="897"/>
      <c r="M19" s="897"/>
    </row>
    <row r="20" spans="1:13" ht="20.100000000000001" customHeight="1">
      <c r="A20" s="896" t="s">
        <v>303</v>
      </c>
      <c r="B20" s="896"/>
      <c r="C20" s="896"/>
      <c r="D20" s="897" t="s">
        <v>224</v>
      </c>
      <c r="E20" s="897"/>
      <c r="F20" s="897"/>
      <c r="G20" s="897"/>
      <c r="H20" s="897"/>
      <c r="I20" s="897"/>
      <c r="J20" s="897"/>
      <c r="K20" s="897"/>
      <c r="L20" s="897"/>
      <c r="M20" s="897"/>
    </row>
    <row r="21" spans="1:13" ht="20.100000000000001" customHeight="1"/>
    <row r="22" spans="1:13" ht="20.100000000000001" customHeight="1">
      <c r="A22" s="151" t="s">
        <v>339</v>
      </c>
      <c r="B22" s="894" t="s">
        <v>313</v>
      </c>
      <c r="C22" s="895"/>
      <c r="D22" s="893">
        <v>2021</v>
      </c>
      <c r="E22" s="893"/>
      <c r="F22" s="893">
        <v>2022</v>
      </c>
      <c r="G22" s="893"/>
      <c r="H22" s="893">
        <v>2023</v>
      </c>
      <c r="I22" s="893"/>
      <c r="J22" s="893">
        <v>2024</v>
      </c>
      <c r="K22" s="893"/>
      <c r="L22" s="893">
        <v>2025</v>
      </c>
      <c r="M22" s="893"/>
    </row>
    <row r="23" spans="1:13" ht="20.100000000000001" customHeight="1">
      <c r="A23" s="134" t="str">
        <f>D12</f>
        <v>1.11.4</v>
      </c>
      <c r="B23" s="889">
        <f>SUM(D23:M23)</f>
        <v>180</v>
      </c>
      <c r="C23" s="890"/>
      <c r="D23" s="886">
        <f>'Curso de capacitação'!E22</f>
        <v>20</v>
      </c>
      <c r="E23" s="887"/>
      <c r="F23" s="886">
        <v>40</v>
      </c>
      <c r="G23" s="887"/>
      <c r="H23" s="886">
        <v>40</v>
      </c>
      <c r="I23" s="887"/>
      <c r="J23" s="886">
        <v>40</v>
      </c>
      <c r="K23" s="887"/>
      <c r="L23" s="886">
        <v>40</v>
      </c>
      <c r="M23" s="887"/>
    </row>
    <row r="24" spans="1:13" ht="20.100000000000001" customHeight="1"/>
    <row r="25" spans="1:13" ht="20.100000000000001" customHeight="1">
      <c r="A25" s="151" t="s">
        <v>339</v>
      </c>
      <c r="B25" s="894" t="s">
        <v>173</v>
      </c>
      <c r="C25" s="895"/>
      <c r="D25" s="893">
        <v>2021</v>
      </c>
      <c r="E25" s="893"/>
      <c r="F25" s="893">
        <v>2022</v>
      </c>
      <c r="G25" s="893"/>
      <c r="H25" s="893">
        <v>2023</v>
      </c>
      <c r="I25" s="893"/>
      <c r="J25" s="893">
        <v>2024</v>
      </c>
      <c r="K25" s="893"/>
      <c r="L25" s="893">
        <v>2025</v>
      </c>
      <c r="M25" s="893"/>
    </row>
    <row r="26" spans="1:13" ht="20.100000000000001" customHeight="1">
      <c r="A26" s="134" t="str">
        <f>D12</f>
        <v>1.11.4</v>
      </c>
      <c r="B26" s="886">
        <f>SUM(D26:M26)</f>
        <v>200604.87852050675</v>
      </c>
      <c r="C26" s="887"/>
      <c r="D26" s="886">
        <f>'Curso de capacitação'!$G$22*D23</f>
        <v>20401.924006437315</v>
      </c>
      <c r="E26" s="887"/>
      <c r="F26" s="886">
        <f>'Curso de capacitação'!$G$22*F23*(1+$A$28)</f>
        <v>42436.00193338962</v>
      </c>
      <c r="G26" s="887"/>
      <c r="H26" s="886">
        <f>F26*(1+$A$28)</f>
        <v>44133.442010725208</v>
      </c>
      <c r="I26" s="887"/>
      <c r="J26" s="886">
        <f t="shared" ref="J26" si="0">H26*(1+$A$28)</f>
        <v>45898.779691154217</v>
      </c>
      <c r="K26" s="887"/>
      <c r="L26" s="886">
        <f t="shared" ref="L26" si="1">J26*(1+$A$28)</f>
        <v>47734.730878800387</v>
      </c>
      <c r="M26" s="887"/>
    </row>
    <row r="28" spans="1:13" ht="15" customHeight="1">
      <c r="A28" s="558">
        <v>0.04</v>
      </c>
      <c r="B28" s="532" t="s">
        <v>704</v>
      </c>
      <c r="C28" s="532"/>
      <c r="D28" s="532"/>
      <c r="E28" s="532"/>
      <c r="F28" s="532"/>
      <c r="G28" s="532"/>
      <c r="H28" s="532"/>
      <c r="I28" s="532"/>
      <c r="J28" s="532"/>
      <c r="K28" s="532"/>
      <c r="L28" s="532"/>
      <c r="M28" s="532"/>
    </row>
    <row r="29" spans="1:13" s="129" customFormat="1" ht="39.950000000000003" customHeight="1">
      <c r="A29" s="804" t="s">
        <v>341</v>
      </c>
      <c r="B29" s="804"/>
      <c r="C29" s="804"/>
      <c r="D29" s="804"/>
      <c r="E29" s="804"/>
      <c r="F29" s="804"/>
      <c r="G29" s="804"/>
      <c r="H29" s="804"/>
      <c r="I29" s="804"/>
      <c r="J29" s="804"/>
      <c r="K29" s="804"/>
      <c r="L29" s="804"/>
      <c r="M29" s="804"/>
    </row>
    <row r="31" spans="1:13" ht="30" customHeight="1">
      <c r="A31" s="155" t="str">
        <f>A3</f>
        <v>FINALIDADE</v>
      </c>
      <c r="B31" s="154"/>
      <c r="C31" s="250">
        <f>C3</f>
        <v>1</v>
      </c>
      <c r="D31" s="892" t="str">
        <f>D3</f>
        <v>Gestão de recursos hídricos</v>
      </c>
      <c r="E31" s="892"/>
      <c r="F31" s="892"/>
      <c r="G31" s="892"/>
      <c r="H31" s="892"/>
      <c r="I31" s="892"/>
      <c r="J31" s="892"/>
      <c r="K31" s="892"/>
      <c r="L31" s="892"/>
      <c r="M31" s="892"/>
    </row>
    <row r="32" spans="1:13" ht="30" customHeight="1">
      <c r="A32" s="157" t="str">
        <f>A6</f>
        <v>PROGRAMA</v>
      </c>
      <c r="B32" s="159"/>
      <c r="C32" s="167">
        <f>C6</f>
        <v>11</v>
      </c>
      <c r="D32" s="885" t="str">
        <f>D6</f>
        <v xml:space="preserve">Comunicação, mobilização social, educação e capacitação técnica </v>
      </c>
      <c r="E32" s="885"/>
      <c r="F32" s="885"/>
      <c r="G32" s="885"/>
      <c r="H32" s="885"/>
      <c r="I32" s="885"/>
      <c r="J32" s="885"/>
      <c r="K32" s="885"/>
      <c r="L32" s="885"/>
      <c r="M32" s="885"/>
    </row>
    <row r="33" spans="1:17" ht="30" customHeight="1">
      <c r="A33" s="156" t="str">
        <f>A11</f>
        <v>AÇÃO</v>
      </c>
      <c r="B33" s="160"/>
      <c r="C33" s="167">
        <f>C11</f>
        <v>4</v>
      </c>
      <c r="D33" s="885" t="str">
        <f>D11</f>
        <v>Capacitação técnica relacionada ao planejamento e gestão de recursos hídricos</v>
      </c>
      <c r="E33" s="885"/>
      <c r="F33" s="885"/>
      <c r="G33" s="885"/>
      <c r="H33" s="885"/>
      <c r="I33" s="885"/>
      <c r="J33" s="885"/>
      <c r="K33" s="885"/>
      <c r="L33" s="885"/>
      <c r="M33" s="885"/>
    </row>
    <row r="34" spans="1:17" ht="30" customHeight="1">
      <c r="A34" s="165" t="s">
        <v>317</v>
      </c>
      <c r="B34" s="166"/>
      <c r="C34" s="167">
        <v>1</v>
      </c>
      <c r="D34" s="885" t="s">
        <v>705</v>
      </c>
      <c r="E34" s="885"/>
      <c r="F34" s="885"/>
      <c r="G34" s="885"/>
      <c r="H34" s="885"/>
      <c r="I34" s="885"/>
      <c r="J34" s="885"/>
      <c r="K34" s="885"/>
      <c r="L34" s="885"/>
      <c r="M34" s="885"/>
    </row>
    <row r="35" spans="1:17" s="150" customFormat="1" ht="30" customHeight="1">
      <c r="A35" s="878" t="s">
        <v>308</v>
      </c>
      <c r="B35" s="879"/>
      <c r="C35" s="560"/>
      <c r="D35" s="584">
        <f>C31</f>
        <v>1</v>
      </c>
      <c r="E35" s="584">
        <f>C32</f>
        <v>11</v>
      </c>
      <c r="F35" s="584">
        <f>C33</f>
        <v>4</v>
      </c>
      <c r="G35" s="584">
        <f>C34</f>
        <v>1</v>
      </c>
      <c r="H35" s="560"/>
      <c r="I35" s="560"/>
      <c r="J35" s="560"/>
      <c r="K35" s="560"/>
      <c r="L35" s="560"/>
      <c r="M35" s="561"/>
    </row>
    <row r="36" spans="1:17" s="150" customFormat="1" ht="65.25" customHeight="1">
      <c r="A36" s="880" t="s">
        <v>321</v>
      </c>
      <c r="B36" s="881"/>
      <c r="C36" s="919" t="s">
        <v>732</v>
      </c>
      <c r="D36" s="920"/>
      <c r="E36" s="920"/>
      <c r="F36" s="920"/>
      <c r="G36" s="920"/>
      <c r="H36" s="920"/>
      <c r="I36" s="920"/>
      <c r="J36" s="920"/>
      <c r="K36" s="920"/>
      <c r="L36" s="920"/>
      <c r="M36" s="921"/>
      <c r="P36" s="158"/>
      <c r="Q36" s="253"/>
    </row>
    <row r="37" spans="1:17" s="150" customFormat="1" ht="20.100000000000001" customHeight="1">
      <c r="P37" s="158"/>
    </row>
    <row r="38" spans="1:17" s="150" customFormat="1" ht="20.100000000000001" customHeight="1">
      <c r="P38" s="158"/>
    </row>
    <row r="39" spans="1:17" s="150" customFormat="1" ht="35.1" customHeight="1">
      <c r="A39" s="878" t="s">
        <v>650</v>
      </c>
      <c r="B39" s="879"/>
      <c r="C39" s="883" t="s">
        <v>737</v>
      </c>
      <c r="D39" s="883"/>
      <c r="E39" s="883"/>
      <c r="F39" s="883"/>
      <c r="G39" s="883"/>
      <c r="H39" s="883"/>
      <c r="I39" s="883"/>
      <c r="J39" s="883"/>
      <c r="K39" s="883"/>
      <c r="L39" s="883"/>
      <c r="M39" s="884"/>
      <c r="P39" s="158"/>
    </row>
    <row r="40" spans="1:17" s="150" customFormat="1" ht="20.100000000000001" customHeight="1">
      <c r="A40" s="247" t="s">
        <v>338</v>
      </c>
      <c r="B40" s="249"/>
      <c r="C40" s="584" t="s">
        <v>648</v>
      </c>
      <c r="D40" s="873" t="s">
        <v>707</v>
      </c>
      <c r="E40" s="874"/>
      <c r="F40" s="874"/>
      <c r="G40" s="874"/>
      <c r="H40" s="874"/>
      <c r="I40" s="874"/>
      <c r="J40" s="874"/>
      <c r="K40" s="874"/>
      <c r="L40" s="874"/>
      <c r="M40" s="875"/>
      <c r="P40" s="158"/>
    </row>
    <row r="41" spans="1:17" s="150" customFormat="1" ht="20.100000000000001" customHeight="1">
      <c r="A41" s="248" t="s">
        <v>340</v>
      </c>
      <c r="B41" s="246"/>
      <c r="C41" s="876" t="s">
        <v>741</v>
      </c>
      <c r="D41" s="876"/>
      <c r="E41" s="876"/>
      <c r="F41" s="876"/>
      <c r="G41" s="876"/>
      <c r="H41" s="876"/>
      <c r="I41" s="876"/>
      <c r="J41" s="876"/>
      <c r="K41" s="876"/>
      <c r="L41" s="876"/>
      <c r="M41" s="877"/>
      <c r="P41" s="158"/>
    </row>
    <row r="42" spans="1:17" s="150" customFormat="1" ht="9.9499999999999993" customHeight="1">
      <c r="P42" s="158"/>
    </row>
    <row r="43" spans="1:17" s="150" customFormat="1" ht="20.100000000000001" customHeight="1">
      <c r="A43" s="161" t="s">
        <v>327</v>
      </c>
      <c r="B43" s="162">
        <v>1</v>
      </c>
      <c r="C43" s="162">
        <v>2</v>
      </c>
      <c r="D43" s="162">
        <v>3</v>
      </c>
      <c r="E43" s="162">
        <v>4</v>
      </c>
      <c r="F43" s="162">
        <v>5</v>
      </c>
      <c r="G43" s="162">
        <v>6</v>
      </c>
      <c r="H43" s="162">
        <v>7</v>
      </c>
      <c r="I43" s="162">
        <v>8</v>
      </c>
      <c r="J43" s="162">
        <v>9</v>
      </c>
      <c r="K43" s="162">
        <v>10</v>
      </c>
      <c r="L43" s="162">
        <v>11</v>
      </c>
      <c r="M43" s="162">
        <v>12</v>
      </c>
    </row>
    <row r="44" spans="1:17" s="150" customFormat="1" ht="20.100000000000001" customHeight="1">
      <c r="A44" s="161" t="s">
        <v>328</v>
      </c>
      <c r="B44" s="566"/>
      <c r="C44" s="566"/>
      <c r="D44" s="566"/>
      <c r="E44" s="566"/>
      <c r="F44" s="566"/>
      <c r="G44" s="566"/>
      <c r="H44" s="566"/>
      <c r="I44" s="566"/>
      <c r="J44" s="164"/>
      <c r="K44" s="566"/>
      <c r="L44" s="566"/>
      <c r="M44" s="566"/>
    </row>
    <row r="45" spans="1:17" s="150" customFormat="1" ht="20.100000000000001" customHeight="1">
      <c r="A45" s="161" t="s">
        <v>329</v>
      </c>
      <c r="B45" s="243">
        <f>F19/12</f>
        <v>0</v>
      </c>
      <c r="C45" s="243">
        <v>0</v>
      </c>
      <c r="D45" s="243">
        <v>0</v>
      </c>
      <c r="E45" s="243">
        <v>0</v>
      </c>
      <c r="F45" s="243">
        <v>0</v>
      </c>
      <c r="G45" s="243">
        <v>0</v>
      </c>
      <c r="H45" s="243">
        <v>0</v>
      </c>
      <c r="I45" s="243">
        <v>0</v>
      </c>
      <c r="J45" s="243">
        <f>D26</f>
        <v>20401.924006437315</v>
      </c>
      <c r="K45" s="243">
        <v>0</v>
      </c>
      <c r="L45" s="243">
        <v>0</v>
      </c>
      <c r="M45" s="243">
        <v>0</v>
      </c>
      <c r="O45" s="563"/>
    </row>
    <row r="46" spans="1:17" s="150" customFormat="1" ht="20.100000000000001" customHeight="1">
      <c r="O46" s="563"/>
    </row>
    <row r="47" spans="1:17" s="150" customFormat="1" ht="20.100000000000001" customHeight="1">
      <c r="A47" s="161" t="s">
        <v>327</v>
      </c>
      <c r="B47" s="162">
        <v>13</v>
      </c>
      <c r="C47" s="162">
        <v>14</v>
      </c>
      <c r="D47" s="162">
        <v>15</v>
      </c>
      <c r="E47" s="162">
        <v>16</v>
      </c>
      <c r="F47" s="162">
        <v>17</v>
      </c>
      <c r="G47" s="162">
        <v>18</v>
      </c>
      <c r="H47" s="162">
        <v>19</v>
      </c>
      <c r="I47" s="162">
        <v>20</v>
      </c>
      <c r="J47" s="162">
        <v>21</v>
      </c>
      <c r="K47" s="162">
        <v>22</v>
      </c>
      <c r="L47" s="162">
        <v>23</v>
      </c>
      <c r="M47" s="162">
        <v>24</v>
      </c>
      <c r="O47" s="563"/>
    </row>
    <row r="48" spans="1:17" s="150" customFormat="1" ht="20.100000000000001" customHeight="1">
      <c r="A48" s="161" t="s">
        <v>328</v>
      </c>
      <c r="B48" s="566"/>
      <c r="C48" s="566"/>
      <c r="D48" s="566"/>
      <c r="E48" s="164"/>
      <c r="F48" s="566"/>
      <c r="G48" s="566"/>
      <c r="H48" s="566"/>
      <c r="I48" s="566"/>
      <c r="J48" s="164"/>
      <c r="K48" s="566"/>
      <c r="L48" s="566"/>
      <c r="M48" s="566"/>
      <c r="O48" s="563"/>
    </row>
    <row r="49" spans="1:15" s="150" customFormat="1" ht="20.100000000000001" customHeight="1">
      <c r="A49" s="161" t="s">
        <v>329</v>
      </c>
      <c r="B49" s="243">
        <f>F23/12</f>
        <v>3.3333333333333335</v>
      </c>
      <c r="C49" s="243">
        <v>0</v>
      </c>
      <c r="D49" s="243">
        <v>0</v>
      </c>
      <c r="E49" s="243">
        <f>F26/2</f>
        <v>21218.00096669481</v>
      </c>
      <c r="F49" s="243">
        <v>0</v>
      </c>
      <c r="G49" s="243">
        <v>0</v>
      </c>
      <c r="H49" s="243">
        <v>0</v>
      </c>
      <c r="I49" s="243">
        <v>0</v>
      </c>
      <c r="J49" s="243">
        <f>E49</f>
        <v>21218.00096669481</v>
      </c>
      <c r="K49" s="243">
        <v>0</v>
      </c>
      <c r="L49" s="243">
        <v>0</v>
      </c>
      <c r="M49" s="243">
        <v>0</v>
      </c>
      <c r="O49" s="563"/>
    </row>
    <row r="50" spans="1:15" s="150" customFormat="1" ht="20.100000000000001" customHeight="1">
      <c r="O50" s="563"/>
    </row>
    <row r="51" spans="1:15" s="150" customFormat="1" ht="20.100000000000001" customHeight="1">
      <c r="A51" s="161" t="s">
        <v>327</v>
      </c>
      <c r="B51" s="162">
        <v>25</v>
      </c>
      <c r="C51" s="162">
        <v>26</v>
      </c>
      <c r="D51" s="162">
        <v>27</v>
      </c>
      <c r="E51" s="162">
        <v>28</v>
      </c>
      <c r="F51" s="162">
        <v>29</v>
      </c>
      <c r="G51" s="162">
        <v>30</v>
      </c>
      <c r="H51" s="162">
        <v>31</v>
      </c>
      <c r="I51" s="162">
        <v>32</v>
      </c>
      <c r="J51" s="162">
        <v>33</v>
      </c>
      <c r="K51" s="162">
        <v>34</v>
      </c>
      <c r="L51" s="162">
        <v>35</v>
      </c>
      <c r="M51" s="162">
        <v>36</v>
      </c>
      <c r="O51" s="563"/>
    </row>
    <row r="52" spans="1:15" s="150" customFormat="1" ht="20.100000000000001" customHeight="1">
      <c r="A52" s="161" t="s">
        <v>328</v>
      </c>
      <c r="B52" s="566"/>
      <c r="C52" s="566"/>
      <c r="D52" s="566"/>
      <c r="E52" s="164"/>
      <c r="F52" s="566"/>
      <c r="G52" s="566"/>
      <c r="H52" s="566"/>
      <c r="I52" s="566"/>
      <c r="J52" s="164"/>
      <c r="K52" s="566"/>
      <c r="L52" s="566"/>
      <c r="M52" s="566"/>
      <c r="O52" s="563"/>
    </row>
    <row r="53" spans="1:15" s="150" customFormat="1" ht="20.100000000000001" customHeight="1">
      <c r="A53" s="161" t="s">
        <v>329</v>
      </c>
      <c r="B53" s="243">
        <f>F27/12</f>
        <v>0</v>
      </c>
      <c r="C53" s="243">
        <v>0</v>
      </c>
      <c r="D53" s="243">
        <v>0</v>
      </c>
      <c r="E53" s="243">
        <f>H26/2</f>
        <v>22066.721005362604</v>
      </c>
      <c r="F53" s="243">
        <v>0</v>
      </c>
      <c r="G53" s="243">
        <v>0</v>
      </c>
      <c r="H53" s="243">
        <v>0</v>
      </c>
      <c r="I53" s="243">
        <v>0</v>
      </c>
      <c r="J53" s="243">
        <f>E53</f>
        <v>22066.721005362604</v>
      </c>
      <c r="K53" s="243">
        <v>0</v>
      </c>
      <c r="L53" s="243">
        <v>0</v>
      </c>
      <c r="M53" s="243">
        <v>0</v>
      </c>
      <c r="O53" s="563"/>
    </row>
    <row r="54" spans="1:15" s="150" customFormat="1" ht="20.100000000000001" customHeight="1">
      <c r="O54" s="563"/>
    </row>
    <row r="55" spans="1:15" s="150" customFormat="1" ht="20.100000000000001" customHeight="1">
      <c r="A55" s="161" t="s">
        <v>327</v>
      </c>
      <c r="B55" s="162">
        <v>37</v>
      </c>
      <c r="C55" s="162">
        <v>38</v>
      </c>
      <c r="D55" s="162">
        <v>39</v>
      </c>
      <c r="E55" s="162">
        <v>40</v>
      </c>
      <c r="F55" s="162">
        <v>41</v>
      </c>
      <c r="G55" s="162">
        <v>42</v>
      </c>
      <c r="H55" s="162">
        <v>43</v>
      </c>
      <c r="I55" s="162">
        <v>44</v>
      </c>
      <c r="J55" s="162">
        <v>45</v>
      </c>
      <c r="K55" s="162">
        <v>46</v>
      </c>
      <c r="L55" s="162">
        <v>47</v>
      </c>
      <c r="M55" s="162">
        <v>48</v>
      </c>
      <c r="O55" s="563"/>
    </row>
    <row r="56" spans="1:15" s="150" customFormat="1" ht="20.100000000000001" customHeight="1">
      <c r="A56" s="161" t="s">
        <v>328</v>
      </c>
      <c r="B56" s="566"/>
      <c r="C56" s="566"/>
      <c r="D56" s="566"/>
      <c r="E56" s="164"/>
      <c r="F56" s="566"/>
      <c r="G56" s="566"/>
      <c r="H56" s="566"/>
      <c r="I56" s="566"/>
      <c r="J56" s="164"/>
      <c r="K56" s="566"/>
      <c r="L56" s="566"/>
      <c r="M56" s="566"/>
      <c r="O56" s="563"/>
    </row>
    <row r="57" spans="1:15" s="150" customFormat="1" ht="20.100000000000001" customHeight="1">
      <c r="A57" s="161" t="s">
        <v>329</v>
      </c>
      <c r="B57" s="243">
        <f>F29/12</f>
        <v>0</v>
      </c>
      <c r="C57" s="243">
        <v>0</v>
      </c>
      <c r="D57" s="243">
        <v>0</v>
      </c>
      <c r="E57" s="243">
        <f>J26/2</f>
        <v>22949.389845577109</v>
      </c>
      <c r="F57" s="243">
        <v>0</v>
      </c>
      <c r="G57" s="243">
        <v>0</v>
      </c>
      <c r="H57" s="243">
        <v>0</v>
      </c>
      <c r="I57" s="243">
        <v>0</v>
      </c>
      <c r="J57" s="243">
        <f>E57</f>
        <v>22949.389845577109</v>
      </c>
      <c r="K57" s="243">
        <v>0</v>
      </c>
      <c r="L57" s="243">
        <v>0</v>
      </c>
      <c r="M57" s="243">
        <v>0</v>
      </c>
      <c r="O57" s="563"/>
    </row>
    <row r="58" spans="1:15" s="150" customFormat="1" ht="20.100000000000001" customHeight="1">
      <c r="O58" s="563"/>
    </row>
    <row r="59" spans="1:15" s="150" customFormat="1" ht="20.100000000000001" customHeight="1">
      <c r="A59" s="161" t="s">
        <v>327</v>
      </c>
      <c r="B59" s="162">
        <v>49</v>
      </c>
      <c r="C59" s="162">
        <v>50</v>
      </c>
      <c r="D59" s="162">
        <v>51</v>
      </c>
      <c r="E59" s="162">
        <v>52</v>
      </c>
      <c r="F59" s="162">
        <v>53</v>
      </c>
      <c r="G59" s="162">
        <v>54</v>
      </c>
      <c r="H59" s="162">
        <v>55</v>
      </c>
      <c r="I59" s="162">
        <v>56</v>
      </c>
      <c r="J59" s="162">
        <v>57</v>
      </c>
      <c r="K59" s="162">
        <v>58</v>
      </c>
      <c r="L59" s="162">
        <v>59</v>
      </c>
      <c r="M59" s="162">
        <v>60</v>
      </c>
      <c r="O59" s="563"/>
    </row>
    <row r="60" spans="1:15" s="150" customFormat="1" ht="20.100000000000001" customHeight="1">
      <c r="A60" s="161" t="s">
        <v>328</v>
      </c>
      <c r="B60" s="566"/>
      <c r="C60" s="566"/>
      <c r="D60" s="566"/>
      <c r="E60" s="164"/>
      <c r="F60" s="566"/>
      <c r="G60" s="566"/>
      <c r="H60" s="566"/>
      <c r="I60" s="566"/>
      <c r="J60" s="164"/>
      <c r="K60" s="566"/>
      <c r="L60" s="566"/>
      <c r="M60" s="566"/>
      <c r="O60" s="563"/>
    </row>
    <row r="61" spans="1:15" s="150" customFormat="1" ht="20.100000000000001" customHeight="1">
      <c r="A61" s="161" t="s">
        <v>329</v>
      </c>
      <c r="B61" s="243">
        <f>F33/12</f>
        <v>0</v>
      </c>
      <c r="C61" s="243">
        <v>0</v>
      </c>
      <c r="D61" s="243">
        <v>0</v>
      </c>
      <c r="E61" s="243">
        <f>L26/2</f>
        <v>23867.365439400193</v>
      </c>
      <c r="F61" s="243">
        <v>0</v>
      </c>
      <c r="G61" s="243">
        <v>0</v>
      </c>
      <c r="H61" s="243">
        <v>0</v>
      </c>
      <c r="I61" s="243">
        <v>0</v>
      </c>
      <c r="J61" s="243">
        <f>E61</f>
        <v>23867.365439400193</v>
      </c>
      <c r="K61" s="243">
        <v>0</v>
      </c>
      <c r="L61" s="243">
        <v>0</v>
      </c>
      <c r="M61" s="243">
        <v>0</v>
      </c>
      <c r="O61" s="563"/>
    </row>
    <row r="62" spans="1:15" s="150" customFormat="1" ht="20.100000000000001" customHeight="1">
      <c r="O62" s="563"/>
    </row>
    <row r="63" spans="1:15" s="150" customFormat="1" ht="20.100000000000001" customHeight="1"/>
  </sheetData>
  <mergeCells count="66">
    <mergeCell ref="A12:C12"/>
    <mergeCell ref="D12:M12"/>
    <mergeCell ref="A1:M1"/>
    <mergeCell ref="D3:M3"/>
    <mergeCell ref="A4:C4"/>
    <mergeCell ref="D4:M4"/>
    <mergeCell ref="D6:M6"/>
    <mergeCell ref="A7:C7"/>
    <mergeCell ref="D7:M7"/>
    <mergeCell ref="A8:C8"/>
    <mergeCell ref="D8:M8"/>
    <mergeCell ref="A9:C9"/>
    <mergeCell ref="D9:M9"/>
    <mergeCell ref="D11:M11"/>
    <mergeCell ref="A13:C13"/>
    <mergeCell ref="D13:M13"/>
    <mergeCell ref="A14:C14"/>
    <mergeCell ref="D14:M14"/>
    <mergeCell ref="A15:C15"/>
    <mergeCell ref="D15:M15"/>
    <mergeCell ref="A16:C16"/>
    <mergeCell ref="D16:M16"/>
    <mergeCell ref="A17:C17"/>
    <mergeCell ref="D17:M17"/>
    <mergeCell ref="A18:C18"/>
    <mergeCell ref="D18:M18"/>
    <mergeCell ref="L23:M23"/>
    <mergeCell ref="A19:C19"/>
    <mergeCell ref="D19:M19"/>
    <mergeCell ref="A20:C20"/>
    <mergeCell ref="D20:M20"/>
    <mergeCell ref="B22:C22"/>
    <mergeCell ref="D22:E22"/>
    <mergeCell ref="F22:G22"/>
    <mergeCell ref="H22:I22"/>
    <mergeCell ref="J22:K22"/>
    <mergeCell ref="L22:M22"/>
    <mergeCell ref="B23:C23"/>
    <mergeCell ref="D23:E23"/>
    <mergeCell ref="F23:G23"/>
    <mergeCell ref="H23:I23"/>
    <mergeCell ref="J23:K23"/>
    <mergeCell ref="L26:M26"/>
    <mergeCell ref="B25:C25"/>
    <mergeCell ref="D25:E25"/>
    <mergeCell ref="F25:G25"/>
    <mergeCell ref="H25:I25"/>
    <mergeCell ref="J25:K25"/>
    <mergeCell ref="L25:M25"/>
    <mergeCell ref="B26:C26"/>
    <mergeCell ref="D26:E26"/>
    <mergeCell ref="F26:G26"/>
    <mergeCell ref="H26:I26"/>
    <mergeCell ref="J26:K26"/>
    <mergeCell ref="C41:M41"/>
    <mergeCell ref="A29:M29"/>
    <mergeCell ref="D31:M31"/>
    <mergeCell ref="D32:M32"/>
    <mergeCell ref="D33:M33"/>
    <mergeCell ref="D34:M34"/>
    <mergeCell ref="A35:B35"/>
    <mergeCell ref="A36:B36"/>
    <mergeCell ref="C36:M36"/>
    <mergeCell ref="A39:B39"/>
    <mergeCell ref="C39:M39"/>
    <mergeCell ref="D40:M40"/>
  </mergeCells>
  <printOptions horizontalCentered="1"/>
  <pageMargins left="0.51181102362204722" right="0.51181102362204722" top="0.78740157480314965" bottom="0.78740157480314965" header="0.31496062992125984" footer="0.31496062992125984"/>
  <pageSetup paperSize="9" scale="93" orientation="portrait" r:id="rId1"/>
  <headerFooter>
    <oddFooter>&amp;L&amp;F&amp;C&amp;A&amp;R&amp;P/&amp;N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62"/>
  <sheetViews>
    <sheetView topLeftCell="A23" workbookViewId="0">
      <selection activeCell="E40" sqref="E40"/>
    </sheetView>
  </sheetViews>
  <sheetFormatPr defaultRowHeight="15"/>
  <cols>
    <col min="1" max="1" width="10.125" style="130" customWidth="1"/>
    <col min="2" max="13" width="6.625" style="130" customWidth="1"/>
    <col min="14" max="17" width="9" style="130"/>
    <col min="18" max="18" width="43.25" style="130" customWidth="1"/>
    <col min="19" max="16384" width="9" style="130"/>
  </cols>
  <sheetData>
    <row r="1" spans="1:13" s="129" customFormat="1" ht="39.950000000000003" customHeight="1">
      <c r="A1" s="804" t="s">
        <v>795</v>
      </c>
      <c r="B1" s="804"/>
      <c r="C1" s="804"/>
      <c r="D1" s="804"/>
      <c r="E1" s="804"/>
      <c r="F1" s="804"/>
      <c r="G1" s="804"/>
      <c r="H1" s="804"/>
      <c r="I1" s="804"/>
      <c r="J1" s="804"/>
      <c r="K1" s="804"/>
      <c r="L1" s="804"/>
      <c r="M1" s="804"/>
    </row>
    <row r="3" spans="1:13" ht="20.100000000000001" customHeight="1">
      <c r="A3" s="587" t="s">
        <v>190</v>
      </c>
      <c r="B3" s="588"/>
      <c r="C3" s="589">
        <v>2</v>
      </c>
      <c r="D3" s="942" t="s">
        <v>512</v>
      </c>
      <c r="E3" s="943"/>
      <c r="F3" s="943"/>
      <c r="G3" s="943"/>
      <c r="H3" s="943"/>
      <c r="I3" s="943"/>
      <c r="J3" s="943"/>
      <c r="K3" s="943"/>
      <c r="L3" s="943"/>
      <c r="M3" s="944"/>
    </row>
    <row r="4" spans="1:13" ht="45" customHeight="1">
      <c r="A4" s="937" t="s">
        <v>294</v>
      </c>
      <c r="B4" s="937"/>
      <c r="C4" s="937"/>
      <c r="D4" s="938" t="s">
        <v>742</v>
      </c>
      <c r="E4" s="938"/>
      <c r="F4" s="938"/>
      <c r="G4" s="938"/>
      <c r="H4" s="938"/>
      <c r="I4" s="938"/>
      <c r="J4" s="938"/>
      <c r="K4" s="938"/>
      <c r="L4" s="938"/>
      <c r="M4" s="938"/>
    </row>
    <row r="6" spans="1:13" ht="20.100000000000001" customHeight="1">
      <c r="A6" s="587" t="s">
        <v>192</v>
      </c>
      <c r="B6" s="588"/>
      <c r="C6" s="589">
        <v>1</v>
      </c>
      <c r="D6" s="942" t="s">
        <v>513</v>
      </c>
      <c r="E6" s="943"/>
      <c r="F6" s="943"/>
      <c r="G6" s="943"/>
      <c r="H6" s="943"/>
      <c r="I6" s="943"/>
      <c r="J6" s="943"/>
      <c r="K6" s="943"/>
      <c r="L6" s="943"/>
      <c r="M6" s="943"/>
    </row>
    <row r="7" spans="1:13" ht="45" customHeight="1">
      <c r="A7" s="937" t="s">
        <v>291</v>
      </c>
      <c r="B7" s="937"/>
      <c r="C7" s="937"/>
      <c r="D7" s="938" t="s">
        <v>743</v>
      </c>
      <c r="E7" s="938"/>
      <c r="F7" s="938"/>
      <c r="G7" s="938"/>
      <c r="H7" s="938"/>
      <c r="I7" s="938"/>
      <c r="J7" s="938"/>
      <c r="K7" s="938"/>
      <c r="L7" s="938"/>
      <c r="M7" s="938"/>
    </row>
    <row r="8" spans="1:13" ht="45" customHeight="1">
      <c r="A8" s="937" t="s">
        <v>293</v>
      </c>
      <c r="B8" s="937"/>
      <c r="C8" s="937"/>
      <c r="D8" s="938" t="s">
        <v>744</v>
      </c>
      <c r="E8" s="938"/>
      <c r="F8" s="938"/>
      <c r="G8" s="938"/>
      <c r="H8" s="938"/>
      <c r="I8" s="938"/>
      <c r="J8" s="938"/>
      <c r="K8" s="938"/>
      <c r="L8" s="938"/>
      <c r="M8" s="938"/>
    </row>
    <row r="9" spans="1:13" ht="65.25" customHeight="1">
      <c r="A9" s="937" t="s">
        <v>292</v>
      </c>
      <c r="B9" s="937"/>
      <c r="C9" s="937"/>
      <c r="D9" s="938" t="s">
        <v>745</v>
      </c>
      <c r="E9" s="938"/>
      <c r="F9" s="938"/>
      <c r="G9" s="938"/>
      <c r="H9" s="938"/>
      <c r="I9" s="938"/>
      <c r="J9" s="938"/>
      <c r="K9" s="938"/>
      <c r="L9" s="938"/>
      <c r="M9" s="938"/>
    </row>
    <row r="11" spans="1:13" ht="30" customHeight="1">
      <c r="A11" s="587" t="s">
        <v>193</v>
      </c>
      <c r="B11" s="588"/>
      <c r="C11" s="589">
        <v>1</v>
      </c>
      <c r="D11" s="945" t="s">
        <v>746</v>
      </c>
      <c r="E11" s="946"/>
      <c r="F11" s="946"/>
      <c r="G11" s="946"/>
      <c r="H11" s="946"/>
      <c r="I11" s="946"/>
      <c r="J11" s="946"/>
      <c r="K11" s="946"/>
      <c r="L11" s="946"/>
      <c r="M11" s="946"/>
    </row>
    <row r="12" spans="1:13" s="150" customFormat="1" ht="20.100000000000001" customHeight="1">
      <c r="A12" s="939" t="s">
        <v>308</v>
      </c>
      <c r="B12" s="940"/>
      <c r="C12" s="941"/>
      <c r="D12" s="938" t="s">
        <v>514</v>
      </c>
      <c r="E12" s="938"/>
      <c r="F12" s="938"/>
      <c r="G12" s="938"/>
      <c r="H12" s="938"/>
      <c r="I12" s="938"/>
      <c r="J12" s="938"/>
      <c r="K12" s="938"/>
      <c r="L12" s="938"/>
      <c r="M12" s="938"/>
    </row>
    <row r="13" spans="1:13" ht="20.100000000000001" customHeight="1">
      <c r="A13" s="937" t="s">
        <v>296</v>
      </c>
      <c r="B13" s="937"/>
      <c r="C13" s="937"/>
      <c r="D13" s="938" t="s">
        <v>750</v>
      </c>
      <c r="E13" s="938"/>
      <c r="F13" s="938"/>
      <c r="G13" s="938"/>
      <c r="H13" s="938"/>
      <c r="I13" s="938"/>
      <c r="J13" s="938"/>
      <c r="K13" s="938"/>
      <c r="L13" s="938"/>
      <c r="M13" s="938"/>
    </row>
    <row r="14" spans="1:13" ht="20.100000000000001" customHeight="1">
      <c r="A14" s="937" t="s">
        <v>311</v>
      </c>
      <c r="B14" s="937"/>
      <c r="C14" s="937"/>
      <c r="D14" s="938" t="s">
        <v>751</v>
      </c>
      <c r="E14" s="938"/>
      <c r="F14" s="938"/>
      <c r="G14" s="938"/>
      <c r="H14" s="938"/>
      <c r="I14" s="938"/>
      <c r="J14" s="938"/>
      <c r="K14" s="938"/>
      <c r="L14" s="938"/>
      <c r="M14" s="938"/>
    </row>
    <row r="15" spans="1:13" s="150" customFormat="1" ht="20.100000000000001" customHeight="1">
      <c r="A15" s="939" t="s">
        <v>305</v>
      </c>
      <c r="B15" s="940"/>
      <c r="C15" s="941"/>
      <c r="D15" s="938" t="s">
        <v>304</v>
      </c>
      <c r="E15" s="938"/>
      <c r="F15" s="938"/>
      <c r="G15" s="938"/>
      <c r="H15" s="938"/>
      <c r="I15" s="938"/>
      <c r="J15" s="938"/>
      <c r="K15" s="938"/>
      <c r="L15" s="938"/>
      <c r="M15" s="938"/>
    </row>
    <row r="16" spans="1:13" ht="45" customHeight="1">
      <c r="A16" s="937" t="s">
        <v>297</v>
      </c>
      <c r="B16" s="937"/>
      <c r="C16" s="937"/>
      <c r="D16" s="938" t="s">
        <v>747</v>
      </c>
      <c r="E16" s="938"/>
      <c r="F16" s="938"/>
      <c r="G16" s="938"/>
      <c r="H16" s="938"/>
      <c r="I16" s="938"/>
      <c r="J16" s="938"/>
      <c r="K16" s="938"/>
      <c r="L16" s="938"/>
      <c r="M16" s="938"/>
    </row>
    <row r="17" spans="1:13" ht="60" customHeight="1">
      <c r="A17" s="937" t="s">
        <v>299</v>
      </c>
      <c r="B17" s="937"/>
      <c r="C17" s="937"/>
      <c r="D17" s="938" t="s">
        <v>748</v>
      </c>
      <c r="E17" s="938"/>
      <c r="F17" s="938"/>
      <c r="G17" s="938"/>
      <c r="H17" s="938"/>
      <c r="I17" s="938"/>
      <c r="J17" s="938"/>
      <c r="K17" s="938"/>
      <c r="L17" s="938"/>
      <c r="M17" s="938"/>
    </row>
    <row r="18" spans="1:13" ht="65.25" customHeight="1">
      <c r="A18" s="937" t="s">
        <v>292</v>
      </c>
      <c r="B18" s="937"/>
      <c r="C18" s="937"/>
      <c r="D18" s="938" t="s">
        <v>745</v>
      </c>
      <c r="E18" s="938"/>
      <c r="F18" s="938"/>
      <c r="G18" s="938"/>
      <c r="H18" s="938"/>
      <c r="I18" s="938"/>
      <c r="J18" s="938"/>
      <c r="K18" s="938"/>
      <c r="L18" s="938"/>
      <c r="M18" s="938"/>
    </row>
    <row r="19" spans="1:13" ht="20.100000000000001" customHeight="1">
      <c r="A19" s="937" t="s">
        <v>302</v>
      </c>
      <c r="B19" s="937"/>
      <c r="C19" s="937"/>
      <c r="D19" s="938" t="s">
        <v>749</v>
      </c>
      <c r="E19" s="938"/>
      <c r="F19" s="938"/>
      <c r="G19" s="938"/>
      <c r="H19" s="938"/>
      <c r="I19" s="938"/>
      <c r="J19" s="938"/>
      <c r="K19" s="938"/>
      <c r="L19" s="938"/>
      <c r="M19" s="938"/>
    </row>
    <row r="20" spans="1:13" ht="20.100000000000001" customHeight="1">
      <c r="A20" s="937" t="s">
        <v>303</v>
      </c>
      <c r="B20" s="937"/>
      <c r="C20" s="937"/>
      <c r="D20" s="938" t="s">
        <v>224</v>
      </c>
      <c r="E20" s="938"/>
      <c r="F20" s="938"/>
      <c r="G20" s="938"/>
      <c r="H20" s="938"/>
      <c r="I20" s="938"/>
      <c r="J20" s="938"/>
      <c r="K20" s="938"/>
      <c r="L20" s="938"/>
      <c r="M20" s="938"/>
    </row>
    <row r="21" spans="1:13" ht="20.100000000000001" customHeight="1"/>
    <row r="22" spans="1:13" ht="20.100000000000001" customHeight="1">
      <c r="A22" s="603" t="s">
        <v>339</v>
      </c>
      <c r="B22" s="934" t="s">
        <v>313</v>
      </c>
      <c r="C22" s="935"/>
      <c r="D22" s="936">
        <v>2021</v>
      </c>
      <c r="E22" s="936"/>
      <c r="F22" s="936">
        <v>2022</v>
      </c>
      <c r="G22" s="936"/>
      <c r="H22" s="936">
        <v>2023</v>
      </c>
      <c r="I22" s="936"/>
      <c r="J22" s="936">
        <v>2024</v>
      </c>
      <c r="K22" s="936"/>
      <c r="L22" s="936">
        <v>2025</v>
      </c>
      <c r="M22" s="936"/>
    </row>
    <row r="23" spans="1:13" ht="20.100000000000001" customHeight="1">
      <c r="A23" s="134" t="str">
        <f>D12</f>
        <v>2.1.1</v>
      </c>
      <c r="B23" s="886">
        <f>SUM(D23:M23)</f>
        <v>3</v>
      </c>
      <c r="C23" s="890"/>
      <c r="D23" s="886">
        <v>3</v>
      </c>
      <c r="E23" s="887"/>
      <c r="F23" s="886">
        <v>0</v>
      </c>
      <c r="G23" s="887"/>
      <c r="H23" s="886">
        <v>0</v>
      </c>
      <c r="I23" s="887"/>
      <c r="J23" s="886">
        <v>0</v>
      </c>
      <c r="K23" s="887"/>
      <c r="L23" s="886">
        <v>0</v>
      </c>
      <c r="M23" s="887"/>
    </row>
    <row r="24" spans="1:13" ht="20.100000000000001" customHeight="1"/>
    <row r="25" spans="1:13" ht="20.100000000000001" customHeight="1">
      <c r="A25" s="603" t="s">
        <v>339</v>
      </c>
      <c r="B25" s="934" t="s">
        <v>173</v>
      </c>
      <c r="C25" s="935"/>
      <c r="D25" s="936">
        <v>2021</v>
      </c>
      <c r="E25" s="936"/>
      <c r="F25" s="936">
        <v>2022</v>
      </c>
      <c r="G25" s="936"/>
      <c r="H25" s="936">
        <v>2023</v>
      </c>
      <c r="I25" s="936"/>
      <c r="J25" s="936">
        <v>2024</v>
      </c>
      <c r="K25" s="936"/>
      <c r="L25" s="936">
        <v>2025</v>
      </c>
      <c r="M25" s="936"/>
    </row>
    <row r="26" spans="1:13" ht="20.100000000000001" customHeight="1">
      <c r="A26" s="134" t="str">
        <f>D12</f>
        <v>2.1.1</v>
      </c>
      <c r="B26" s="886">
        <f>SUM(D26:M26)</f>
        <v>87739.60213640143</v>
      </c>
      <c r="C26" s="887"/>
      <c r="D26" s="886">
        <f>'PMSB TCU'!G25</f>
        <v>87739.60213640143</v>
      </c>
      <c r="E26" s="887"/>
      <c r="F26" s="886">
        <v>0</v>
      </c>
      <c r="G26" s="887"/>
      <c r="H26" s="886">
        <f>F26*(1+A28)</f>
        <v>0</v>
      </c>
      <c r="I26" s="887"/>
      <c r="J26" s="886">
        <f>H26*(1+A28)</f>
        <v>0</v>
      </c>
      <c r="K26" s="887"/>
      <c r="L26" s="886">
        <f>J26*(1+A28)</f>
        <v>0</v>
      </c>
      <c r="M26" s="887"/>
    </row>
    <row r="28" spans="1:13" ht="15" customHeight="1">
      <c r="A28" s="558">
        <v>0.04</v>
      </c>
      <c r="B28" s="532" t="s">
        <v>704</v>
      </c>
      <c r="C28" s="532"/>
      <c r="D28" s="532"/>
      <c r="E28" s="532"/>
      <c r="F28" s="532"/>
      <c r="G28" s="532"/>
      <c r="H28" s="532"/>
      <c r="I28" s="532"/>
      <c r="J28" s="532"/>
      <c r="K28" s="532"/>
      <c r="L28" s="532"/>
      <c r="M28" s="532"/>
    </row>
    <row r="29" spans="1:13" s="129" customFormat="1" ht="39.950000000000003" customHeight="1">
      <c r="A29" s="804" t="s">
        <v>341</v>
      </c>
      <c r="B29" s="804"/>
      <c r="C29" s="804"/>
      <c r="D29" s="804"/>
      <c r="E29" s="804"/>
      <c r="F29" s="804"/>
      <c r="G29" s="804"/>
      <c r="H29" s="804"/>
      <c r="I29" s="804"/>
      <c r="J29" s="804"/>
      <c r="K29" s="804"/>
      <c r="L29" s="804"/>
      <c r="M29" s="804"/>
    </row>
    <row r="31" spans="1:13" ht="26.25" customHeight="1">
      <c r="A31" s="590" t="str">
        <f>A3</f>
        <v>FINALIDADE</v>
      </c>
      <c r="B31" s="591"/>
      <c r="C31" s="602">
        <f>C3</f>
        <v>2</v>
      </c>
      <c r="D31" s="927" t="str">
        <f>D3</f>
        <v>AGENDA SETORIAL</v>
      </c>
      <c r="E31" s="927"/>
      <c r="F31" s="927"/>
      <c r="G31" s="927"/>
      <c r="H31" s="927"/>
      <c r="I31" s="927"/>
      <c r="J31" s="927"/>
      <c r="K31" s="927"/>
      <c r="L31" s="927"/>
      <c r="M31" s="927"/>
    </row>
    <row r="32" spans="1:13" ht="21.75" customHeight="1">
      <c r="A32" s="592" t="str">
        <f>A6</f>
        <v>PROGRAMA</v>
      </c>
      <c r="B32" s="593"/>
      <c r="C32" s="167">
        <f>C6</f>
        <v>1</v>
      </c>
      <c r="D32" s="885" t="str">
        <f>D6</f>
        <v>Recuperação da qualidade da água</v>
      </c>
      <c r="E32" s="885"/>
      <c r="F32" s="885"/>
      <c r="G32" s="885"/>
      <c r="H32" s="885"/>
      <c r="I32" s="885"/>
      <c r="J32" s="885"/>
      <c r="K32" s="885"/>
      <c r="L32" s="885"/>
      <c r="M32" s="885"/>
    </row>
    <row r="33" spans="1:18" ht="30" customHeight="1">
      <c r="A33" s="594" t="str">
        <f>A11</f>
        <v>AÇÃO</v>
      </c>
      <c r="B33" s="595"/>
      <c r="C33" s="167">
        <f>C11</f>
        <v>1</v>
      </c>
      <c r="D33" s="885" t="str">
        <f>D11</f>
        <v>Elaboração, revisão ou atualização dos Planos Municipais de Saneamento Básico (PMSB)</v>
      </c>
      <c r="E33" s="885"/>
      <c r="F33" s="885"/>
      <c r="G33" s="885"/>
      <c r="H33" s="885"/>
      <c r="I33" s="885"/>
      <c r="J33" s="885"/>
      <c r="K33" s="885"/>
      <c r="L33" s="885"/>
      <c r="M33" s="885"/>
    </row>
    <row r="34" spans="1:18" ht="25.5" customHeight="1">
      <c r="A34" s="596" t="s">
        <v>317</v>
      </c>
      <c r="B34" s="597"/>
      <c r="C34" s="167">
        <v>1</v>
      </c>
      <c r="D34" s="885" t="s">
        <v>753</v>
      </c>
      <c r="E34" s="885"/>
      <c r="F34" s="885"/>
      <c r="G34" s="885"/>
      <c r="H34" s="885"/>
      <c r="I34" s="885"/>
      <c r="J34" s="885"/>
      <c r="K34" s="885"/>
      <c r="L34" s="885"/>
      <c r="M34" s="885"/>
    </row>
    <row r="35" spans="1:18" s="150" customFormat="1" ht="24" customHeight="1">
      <c r="A35" s="928" t="s">
        <v>308</v>
      </c>
      <c r="B35" s="929"/>
      <c r="C35" s="560"/>
      <c r="D35" s="584">
        <f>C31</f>
        <v>2</v>
      </c>
      <c r="E35" s="584">
        <f>C32</f>
        <v>1</v>
      </c>
      <c r="F35" s="584">
        <f>C33</f>
        <v>1</v>
      </c>
      <c r="G35" s="584">
        <f>C34</f>
        <v>1</v>
      </c>
      <c r="H35" s="560"/>
      <c r="I35" s="560"/>
      <c r="J35" s="560"/>
      <c r="K35" s="560"/>
      <c r="L35" s="560"/>
      <c r="M35" s="561"/>
    </row>
    <row r="36" spans="1:18" s="150" customFormat="1" ht="123" customHeight="1">
      <c r="A36" s="930" t="s">
        <v>321</v>
      </c>
      <c r="B36" s="931"/>
      <c r="C36" s="882" t="s">
        <v>752</v>
      </c>
      <c r="D36" s="882"/>
      <c r="E36" s="882"/>
      <c r="F36" s="882"/>
      <c r="G36" s="882"/>
      <c r="H36" s="882"/>
      <c r="I36" s="882"/>
      <c r="J36" s="882"/>
      <c r="K36" s="882"/>
      <c r="L36" s="882"/>
      <c r="M36" s="882"/>
      <c r="P36" s="158"/>
      <c r="Q36" s="253"/>
      <c r="R36" s="554"/>
    </row>
    <row r="37" spans="1:18" s="150" customFormat="1" ht="20.100000000000001" customHeight="1">
      <c r="P37" s="158"/>
      <c r="R37" s="554"/>
    </row>
    <row r="38" spans="1:18" s="150" customFormat="1" ht="24.95" customHeight="1">
      <c r="A38" s="928" t="s">
        <v>650</v>
      </c>
      <c r="B38" s="929"/>
      <c r="C38" s="932" t="s">
        <v>719</v>
      </c>
      <c r="D38" s="932"/>
      <c r="E38" s="932"/>
      <c r="F38" s="932"/>
      <c r="G38" s="932"/>
      <c r="H38" s="932"/>
      <c r="I38" s="932"/>
      <c r="J38" s="932"/>
      <c r="K38" s="932"/>
      <c r="L38" s="932"/>
      <c r="M38" s="933"/>
      <c r="P38" s="158"/>
    </row>
    <row r="39" spans="1:18" s="150" customFormat="1" ht="20.100000000000001" customHeight="1">
      <c r="A39" s="598" t="s">
        <v>338</v>
      </c>
      <c r="B39" s="599"/>
      <c r="C39" s="584">
        <v>1</v>
      </c>
      <c r="D39" s="873">
        <v>2021</v>
      </c>
      <c r="E39" s="874"/>
      <c r="F39" s="874"/>
      <c r="G39" s="874"/>
      <c r="H39" s="874"/>
      <c r="I39" s="874"/>
      <c r="J39" s="874"/>
      <c r="K39" s="874"/>
      <c r="L39" s="874"/>
      <c r="M39" s="875"/>
      <c r="P39" s="158"/>
    </row>
    <row r="40" spans="1:18" s="150" customFormat="1" ht="20.100000000000001" customHeight="1">
      <c r="A40" s="600" t="s">
        <v>340</v>
      </c>
      <c r="B40" s="601"/>
      <c r="C40" s="876" t="s">
        <v>754</v>
      </c>
      <c r="D40" s="876"/>
      <c r="E40" s="876"/>
      <c r="F40" s="876"/>
      <c r="G40" s="876"/>
      <c r="H40" s="876"/>
      <c r="I40" s="876"/>
      <c r="J40" s="876"/>
      <c r="K40" s="876"/>
      <c r="L40" s="876"/>
      <c r="M40" s="877"/>
      <c r="P40" s="158"/>
    </row>
    <row r="41" spans="1:18" s="150" customFormat="1" ht="9.9499999999999993" customHeight="1">
      <c r="P41" s="158"/>
    </row>
    <row r="42" spans="1:18" s="150" customFormat="1" ht="20.100000000000001" customHeight="1">
      <c r="A42" s="161" t="s">
        <v>327</v>
      </c>
      <c r="B42" s="162">
        <v>1</v>
      </c>
      <c r="C42" s="162">
        <v>2</v>
      </c>
      <c r="D42" s="162">
        <v>3</v>
      </c>
      <c r="E42" s="162">
        <v>4</v>
      </c>
      <c r="F42" s="162">
        <v>5</v>
      </c>
      <c r="G42" s="162">
        <v>6</v>
      </c>
      <c r="H42" s="162">
        <v>7</v>
      </c>
      <c r="I42" s="162">
        <v>8</v>
      </c>
      <c r="J42" s="162">
        <v>9</v>
      </c>
      <c r="K42" s="162">
        <v>10</v>
      </c>
      <c r="L42" s="162">
        <v>11</v>
      </c>
      <c r="M42" s="162">
        <v>12</v>
      </c>
    </row>
    <row r="43" spans="1:18" s="150" customFormat="1" ht="20.100000000000001" customHeight="1">
      <c r="A43" s="161" t="s">
        <v>328</v>
      </c>
      <c r="B43" s="566"/>
      <c r="C43" s="566"/>
      <c r="D43" s="566"/>
      <c r="E43" s="566"/>
      <c r="F43" s="164"/>
      <c r="G43" s="164"/>
      <c r="H43" s="164"/>
      <c r="I43" s="566"/>
      <c r="J43" s="566"/>
      <c r="K43" s="566"/>
      <c r="L43" s="566"/>
      <c r="M43" s="566"/>
    </row>
    <row r="44" spans="1:18" s="150" customFormat="1" ht="20.100000000000001" customHeight="1">
      <c r="A44" s="161" t="s">
        <v>329</v>
      </c>
      <c r="B44" s="243">
        <f>F19/12</f>
        <v>0</v>
      </c>
      <c r="C44" s="243">
        <v>0</v>
      </c>
      <c r="D44" s="243">
        <v>0</v>
      </c>
      <c r="E44" s="243">
        <v>0</v>
      </c>
      <c r="F44" s="243">
        <f>D26/3</f>
        <v>29246.534045467142</v>
      </c>
      <c r="G44" s="243">
        <f>D26/3</f>
        <v>29246.534045467142</v>
      </c>
      <c r="H44" s="243">
        <f>D26/3</f>
        <v>29246.534045467142</v>
      </c>
      <c r="I44" s="243">
        <v>0</v>
      </c>
      <c r="J44" s="243">
        <v>0</v>
      </c>
      <c r="K44" s="243">
        <v>0</v>
      </c>
      <c r="L44" s="243">
        <v>0</v>
      </c>
      <c r="M44" s="243">
        <v>0</v>
      </c>
      <c r="O44" s="563"/>
    </row>
    <row r="45" spans="1:18" s="150" customFormat="1" ht="20.100000000000001" customHeight="1">
      <c r="O45" s="563"/>
    </row>
    <row r="46" spans="1:18" s="150" customFormat="1" ht="20.100000000000001" customHeight="1">
      <c r="A46" s="161" t="s">
        <v>327</v>
      </c>
      <c r="B46" s="162">
        <v>13</v>
      </c>
      <c r="C46" s="162">
        <v>14</v>
      </c>
      <c r="D46" s="162">
        <v>15</v>
      </c>
      <c r="E46" s="162">
        <v>16</v>
      </c>
      <c r="F46" s="162">
        <v>17</v>
      </c>
      <c r="G46" s="162">
        <v>18</v>
      </c>
      <c r="H46" s="162">
        <v>19</v>
      </c>
      <c r="I46" s="162">
        <v>20</v>
      </c>
      <c r="J46" s="162">
        <v>21</v>
      </c>
      <c r="K46" s="162">
        <v>22</v>
      </c>
      <c r="L46" s="162">
        <v>23</v>
      </c>
      <c r="M46" s="162">
        <v>24</v>
      </c>
      <c r="O46" s="563"/>
    </row>
    <row r="47" spans="1:18" s="150" customFormat="1" ht="20.100000000000001" customHeight="1">
      <c r="A47" s="161" t="s">
        <v>328</v>
      </c>
      <c r="B47" s="566"/>
      <c r="C47" s="566"/>
      <c r="D47" s="566"/>
      <c r="E47" s="566"/>
      <c r="F47" s="566"/>
      <c r="G47" s="566"/>
      <c r="H47" s="566"/>
      <c r="I47" s="566"/>
      <c r="J47" s="566"/>
      <c r="K47" s="566"/>
      <c r="L47" s="566"/>
      <c r="M47" s="566"/>
      <c r="O47" s="563"/>
    </row>
    <row r="48" spans="1:18" s="150" customFormat="1" ht="20.100000000000001" customHeight="1">
      <c r="A48" s="161" t="s">
        <v>329</v>
      </c>
      <c r="B48" s="243">
        <f>F23/12</f>
        <v>0</v>
      </c>
      <c r="C48" s="243">
        <v>0</v>
      </c>
      <c r="D48" s="243">
        <v>0</v>
      </c>
      <c r="E48" s="243">
        <v>0</v>
      </c>
      <c r="F48" s="243">
        <v>0</v>
      </c>
      <c r="G48" s="243">
        <v>0</v>
      </c>
      <c r="H48" s="243">
        <v>0</v>
      </c>
      <c r="I48" s="243">
        <v>0</v>
      </c>
      <c r="J48" s="243">
        <v>0</v>
      </c>
      <c r="K48" s="243">
        <v>0</v>
      </c>
      <c r="L48" s="243">
        <v>0</v>
      </c>
      <c r="M48" s="243">
        <v>0</v>
      </c>
      <c r="O48" s="563"/>
    </row>
    <row r="49" spans="1:15" s="150" customFormat="1" ht="20.100000000000001" customHeight="1">
      <c r="O49" s="563"/>
    </row>
    <row r="50" spans="1:15" s="150" customFormat="1" ht="20.100000000000001" customHeight="1">
      <c r="A50" s="161" t="s">
        <v>327</v>
      </c>
      <c r="B50" s="162">
        <v>25</v>
      </c>
      <c r="C50" s="162">
        <v>26</v>
      </c>
      <c r="D50" s="162">
        <v>27</v>
      </c>
      <c r="E50" s="162">
        <v>28</v>
      </c>
      <c r="F50" s="162">
        <v>29</v>
      </c>
      <c r="G50" s="162">
        <v>30</v>
      </c>
      <c r="H50" s="162">
        <v>31</v>
      </c>
      <c r="I50" s="162">
        <v>32</v>
      </c>
      <c r="J50" s="162">
        <v>33</v>
      </c>
      <c r="K50" s="162">
        <v>34</v>
      </c>
      <c r="L50" s="162">
        <v>35</v>
      </c>
      <c r="M50" s="162">
        <v>36</v>
      </c>
      <c r="O50" s="563"/>
    </row>
    <row r="51" spans="1:15" s="150" customFormat="1" ht="20.100000000000001" customHeight="1">
      <c r="A51" s="161" t="s">
        <v>328</v>
      </c>
      <c r="B51" s="566"/>
      <c r="C51" s="566"/>
      <c r="D51" s="566"/>
      <c r="E51" s="566"/>
      <c r="F51" s="566"/>
      <c r="G51" s="566"/>
      <c r="H51" s="566"/>
      <c r="I51" s="566"/>
      <c r="J51" s="566"/>
      <c r="K51" s="566"/>
      <c r="L51" s="566"/>
      <c r="M51" s="566"/>
      <c r="O51" s="563"/>
    </row>
    <row r="52" spans="1:15" s="150" customFormat="1" ht="20.100000000000001" customHeight="1">
      <c r="A52" s="161" t="s">
        <v>329</v>
      </c>
      <c r="B52" s="243">
        <f>F27/12</f>
        <v>0</v>
      </c>
      <c r="C52" s="243">
        <v>0</v>
      </c>
      <c r="D52" s="243">
        <v>0</v>
      </c>
      <c r="E52" s="243">
        <v>0</v>
      </c>
      <c r="F52" s="243">
        <v>0</v>
      </c>
      <c r="G52" s="243">
        <v>0</v>
      </c>
      <c r="H52" s="243">
        <v>0</v>
      </c>
      <c r="I52" s="243">
        <v>0</v>
      </c>
      <c r="J52" s="243">
        <v>0</v>
      </c>
      <c r="K52" s="243">
        <v>0</v>
      </c>
      <c r="L52" s="243">
        <v>0</v>
      </c>
      <c r="M52" s="243">
        <v>0</v>
      </c>
      <c r="O52" s="563"/>
    </row>
    <row r="53" spans="1:15" s="150" customFormat="1" ht="20.100000000000001" customHeight="1">
      <c r="O53" s="563"/>
    </row>
    <row r="54" spans="1:15" s="150" customFormat="1" ht="20.100000000000001" customHeight="1">
      <c r="A54" s="161" t="s">
        <v>327</v>
      </c>
      <c r="B54" s="162">
        <v>37</v>
      </c>
      <c r="C54" s="162">
        <v>38</v>
      </c>
      <c r="D54" s="162">
        <v>39</v>
      </c>
      <c r="E54" s="162">
        <v>40</v>
      </c>
      <c r="F54" s="162">
        <v>41</v>
      </c>
      <c r="G54" s="162">
        <v>42</v>
      </c>
      <c r="H54" s="162">
        <v>43</v>
      </c>
      <c r="I54" s="162">
        <v>44</v>
      </c>
      <c r="J54" s="162">
        <v>45</v>
      </c>
      <c r="K54" s="162">
        <v>46</v>
      </c>
      <c r="L54" s="162">
        <v>47</v>
      </c>
      <c r="M54" s="162">
        <v>48</v>
      </c>
      <c r="O54" s="563"/>
    </row>
    <row r="55" spans="1:15" s="150" customFormat="1" ht="20.100000000000001" customHeight="1">
      <c r="A55" s="161" t="s">
        <v>328</v>
      </c>
      <c r="B55" s="566"/>
      <c r="C55" s="566"/>
      <c r="D55" s="566"/>
      <c r="E55" s="566"/>
      <c r="F55" s="566"/>
      <c r="G55" s="566"/>
      <c r="H55" s="566"/>
      <c r="I55" s="566"/>
      <c r="J55" s="566"/>
      <c r="K55" s="566"/>
      <c r="L55" s="566"/>
      <c r="M55" s="566"/>
      <c r="O55" s="563"/>
    </row>
    <row r="56" spans="1:15" s="150" customFormat="1" ht="20.100000000000001" customHeight="1">
      <c r="A56" s="161" t="s">
        <v>329</v>
      </c>
      <c r="B56" s="243">
        <f>F31/12</f>
        <v>0</v>
      </c>
      <c r="C56" s="243">
        <v>0</v>
      </c>
      <c r="D56" s="243">
        <v>0</v>
      </c>
      <c r="E56" s="243">
        <v>0</v>
      </c>
      <c r="F56" s="243">
        <v>0</v>
      </c>
      <c r="G56" s="243">
        <v>0</v>
      </c>
      <c r="H56" s="243">
        <v>0</v>
      </c>
      <c r="I56" s="243">
        <v>0</v>
      </c>
      <c r="J56" s="243">
        <v>0</v>
      </c>
      <c r="K56" s="243">
        <v>0</v>
      </c>
      <c r="L56" s="243">
        <v>0</v>
      </c>
      <c r="M56" s="243">
        <v>0</v>
      </c>
      <c r="O56" s="563"/>
    </row>
    <row r="57" spans="1:15" s="150" customFormat="1" ht="20.100000000000001" customHeight="1">
      <c r="O57" s="563"/>
    </row>
    <row r="58" spans="1:15" s="150" customFormat="1" ht="20.100000000000001" customHeight="1">
      <c r="A58" s="161" t="s">
        <v>327</v>
      </c>
      <c r="B58" s="162">
        <v>49</v>
      </c>
      <c r="C58" s="162">
        <v>50</v>
      </c>
      <c r="D58" s="162">
        <v>51</v>
      </c>
      <c r="E58" s="162">
        <v>52</v>
      </c>
      <c r="F58" s="162">
        <v>53</v>
      </c>
      <c r="G58" s="162">
        <v>54</v>
      </c>
      <c r="H58" s="162">
        <v>55</v>
      </c>
      <c r="I58" s="162">
        <v>56</v>
      </c>
      <c r="J58" s="162">
        <v>57</v>
      </c>
      <c r="K58" s="162">
        <v>58</v>
      </c>
      <c r="L58" s="162">
        <v>59</v>
      </c>
      <c r="M58" s="162">
        <v>60</v>
      </c>
      <c r="O58" s="563"/>
    </row>
    <row r="59" spans="1:15" s="150" customFormat="1" ht="20.100000000000001" customHeight="1">
      <c r="A59" s="161" t="s">
        <v>328</v>
      </c>
      <c r="B59" s="566"/>
      <c r="C59" s="566"/>
      <c r="D59" s="566"/>
      <c r="E59" s="566"/>
      <c r="F59" s="566"/>
      <c r="G59" s="566"/>
      <c r="H59" s="566"/>
      <c r="I59" s="566"/>
      <c r="J59" s="566"/>
      <c r="K59" s="566"/>
      <c r="L59" s="566"/>
      <c r="M59" s="566"/>
      <c r="O59" s="563"/>
    </row>
    <row r="60" spans="1:15" s="150" customFormat="1" ht="20.100000000000001" customHeight="1">
      <c r="A60" s="161" t="s">
        <v>329</v>
      </c>
      <c r="B60" s="243">
        <f>F35/12</f>
        <v>8.3333333333333329E-2</v>
      </c>
      <c r="C60" s="243">
        <v>0</v>
      </c>
      <c r="D60" s="243">
        <v>0</v>
      </c>
      <c r="E60" s="243">
        <v>0</v>
      </c>
      <c r="F60" s="243">
        <v>0</v>
      </c>
      <c r="G60" s="243">
        <v>0</v>
      </c>
      <c r="H60" s="243">
        <v>0</v>
      </c>
      <c r="I60" s="243">
        <v>0</v>
      </c>
      <c r="J60" s="243">
        <v>0</v>
      </c>
      <c r="K60" s="243">
        <v>0</v>
      </c>
      <c r="L60" s="243">
        <v>0</v>
      </c>
      <c r="M60" s="243">
        <v>0</v>
      </c>
      <c r="O60" s="563"/>
    </row>
    <row r="61" spans="1:15" s="150" customFormat="1" ht="20.100000000000001" customHeight="1">
      <c r="O61" s="563"/>
    </row>
    <row r="62" spans="1:15" s="150" customFormat="1" ht="20.100000000000001" customHeight="1"/>
  </sheetData>
  <mergeCells count="66">
    <mergeCell ref="A12:C12"/>
    <mergeCell ref="D12:M12"/>
    <mergeCell ref="A1:M1"/>
    <mergeCell ref="D3:M3"/>
    <mergeCell ref="A4:C4"/>
    <mergeCell ref="D4:M4"/>
    <mergeCell ref="D6:M6"/>
    <mergeCell ref="A7:C7"/>
    <mergeCell ref="D7:M7"/>
    <mergeCell ref="A8:C8"/>
    <mergeCell ref="D8:M8"/>
    <mergeCell ref="A9:C9"/>
    <mergeCell ref="D9:M9"/>
    <mergeCell ref="D11:M11"/>
    <mergeCell ref="A13:C13"/>
    <mergeCell ref="D13:M13"/>
    <mergeCell ref="A14:C14"/>
    <mergeCell ref="D14:M14"/>
    <mergeCell ref="A15:C15"/>
    <mergeCell ref="D15:M15"/>
    <mergeCell ref="A16:C16"/>
    <mergeCell ref="D16:M16"/>
    <mergeCell ref="A17:C17"/>
    <mergeCell ref="D17:M17"/>
    <mergeCell ref="A18:C18"/>
    <mergeCell ref="D18:M18"/>
    <mergeCell ref="L23:M23"/>
    <mergeCell ref="A19:C19"/>
    <mergeCell ref="D19:M19"/>
    <mergeCell ref="A20:C20"/>
    <mergeCell ref="D20:M20"/>
    <mergeCell ref="B22:C22"/>
    <mergeCell ref="D22:E22"/>
    <mergeCell ref="F22:G22"/>
    <mergeCell ref="H22:I22"/>
    <mergeCell ref="J22:K22"/>
    <mergeCell ref="L22:M22"/>
    <mergeCell ref="B23:C23"/>
    <mergeCell ref="D23:E23"/>
    <mergeCell ref="F23:G23"/>
    <mergeCell ref="H23:I23"/>
    <mergeCell ref="J23:K23"/>
    <mergeCell ref="L26:M26"/>
    <mergeCell ref="B25:C25"/>
    <mergeCell ref="D25:E25"/>
    <mergeCell ref="F25:G25"/>
    <mergeCell ref="H25:I25"/>
    <mergeCell ref="J25:K25"/>
    <mergeCell ref="L25:M25"/>
    <mergeCell ref="B26:C26"/>
    <mergeCell ref="D26:E26"/>
    <mergeCell ref="F26:G26"/>
    <mergeCell ref="H26:I26"/>
    <mergeCell ref="J26:K26"/>
    <mergeCell ref="C40:M40"/>
    <mergeCell ref="A29:M29"/>
    <mergeCell ref="D31:M31"/>
    <mergeCell ref="D32:M32"/>
    <mergeCell ref="D33:M33"/>
    <mergeCell ref="D34:M34"/>
    <mergeCell ref="A35:B35"/>
    <mergeCell ref="A36:B36"/>
    <mergeCell ref="C36:M36"/>
    <mergeCell ref="A38:B38"/>
    <mergeCell ref="C38:M38"/>
    <mergeCell ref="D39:M39"/>
  </mergeCells>
  <printOptions horizontalCentered="1"/>
  <pageMargins left="0.51181102362204722" right="0.51181102362204722" top="0.78740157480314965" bottom="0.78740157480314965" header="0.31496062992125984" footer="0.31496062992125984"/>
  <pageSetup paperSize="9" scale="93" orientation="portrait" r:id="rId1"/>
  <headerFooter>
    <oddFooter>&amp;L&amp;F&amp;C&amp;A&amp;R&amp;P/&amp;N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Q62"/>
  <sheetViews>
    <sheetView topLeftCell="A18" workbookViewId="0">
      <selection activeCell="E40" sqref="E40"/>
    </sheetView>
  </sheetViews>
  <sheetFormatPr defaultRowHeight="15"/>
  <cols>
    <col min="1" max="1" width="10.125" style="130" customWidth="1"/>
    <col min="2" max="13" width="6.625" style="130" customWidth="1"/>
    <col min="14" max="16384" width="9" style="130"/>
  </cols>
  <sheetData>
    <row r="1" spans="1:13" s="129" customFormat="1" ht="39.950000000000003" customHeight="1">
      <c r="A1" s="804" t="s">
        <v>777</v>
      </c>
      <c r="B1" s="804"/>
      <c r="C1" s="804"/>
      <c r="D1" s="804"/>
      <c r="E1" s="804"/>
      <c r="F1" s="804"/>
      <c r="G1" s="804"/>
      <c r="H1" s="804"/>
      <c r="I1" s="804"/>
      <c r="J1" s="804"/>
      <c r="K1" s="804"/>
      <c r="L1" s="804"/>
      <c r="M1" s="804"/>
    </row>
    <row r="3" spans="1:13" ht="20.100000000000001" customHeight="1">
      <c r="A3" s="587" t="s">
        <v>190</v>
      </c>
      <c r="B3" s="588"/>
      <c r="C3" s="589">
        <v>2</v>
      </c>
      <c r="D3" s="942" t="s">
        <v>512</v>
      </c>
      <c r="E3" s="943"/>
      <c r="F3" s="943"/>
      <c r="G3" s="943"/>
      <c r="H3" s="943"/>
      <c r="I3" s="943"/>
      <c r="J3" s="943"/>
      <c r="K3" s="943"/>
      <c r="L3" s="943"/>
      <c r="M3" s="944"/>
    </row>
    <row r="4" spans="1:13" ht="45" customHeight="1">
      <c r="A4" s="937" t="s">
        <v>294</v>
      </c>
      <c r="B4" s="937"/>
      <c r="C4" s="937"/>
      <c r="D4" s="938" t="s">
        <v>742</v>
      </c>
      <c r="E4" s="938"/>
      <c r="F4" s="938"/>
      <c r="G4" s="938"/>
      <c r="H4" s="938"/>
      <c r="I4" s="938"/>
      <c r="J4" s="938"/>
      <c r="K4" s="938"/>
      <c r="L4" s="938"/>
      <c r="M4" s="938"/>
    </row>
    <row r="6" spans="1:13" ht="20.100000000000001" customHeight="1">
      <c r="A6" s="587" t="s">
        <v>192</v>
      </c>
      <c r="B6" s="588"/>
      <c r="C6" s="589">
        <v>1</v>
      </c>
      <c r="D6" s="942" t="s">
        <v>513</v>
      </c>
      <c r="E6" s="943"/>
      <c r="F6" s="943"/>
      <c r="G6" s="943"/>
      <c r="H6" s="943"/>
      <c r="I6" s="943"/>
      <c r="J6" s="943"/>
      <c r="K6" s="943"/>
      <c r="L6" s="943"/>
      <c r="M6" s="943"/>
    </row>
    <row r="7" spans="1:13" ht="45" customHeight="1">
      <c r="A7" s="937" t="s">
        <v>291</v>
      </c>
      <c r="B7" s="937"/>
      <c r="C7" s="937"/>
      <c r="D7" s="938" t="s">
        <v>743</v>
      </c>
      <c r="E7" s="938"/>
      <c r="F7" s="938"/>
      <c r="G7" s="938"/>
      <c r="H7" s="938"/>
      <c r="I7" s="938"/>
      <c r="J7" s="938"/>
      <c r="K7" s="938"/>
      <c r="L7" s="938"/>
      <c r="M7" s="938"/>
    </row>
    <row r="8" spans="1:13" ht="45" customHeight="1">
      <c r="A8" s="937" t="s">
        <v>293</v>
      </c>
      <c r="B8" s="937"/>
      <c r="C8" s="937"/>
      <c r="D8" s="938" t="s">
        <v>744</v>
      </c>
      <c r="E8" s="938"/>
      <c r="F8" s="938"/>
      <c r="G8" s="938"/>
      <c r="H8" s="938"/>
      <c r="I8" s="938"/>
      <c r="J8" s="938"/>
      <c r="K8" s="938"/>
      <c r="L8" s="938"/>
      <c r="M8" s="938"/>
    </row>
    <row r="9" spans="1:13" ht="65.25" customHeight="1">
      <c r="A9" s="937" t="s">
        <v>292</v>
      </c>
      <c r="B9" s="937"/>
      <c r="C9" s="937"/>
      <c r="D9" s="938" t="s">
        <v>745</v>
      </c>
      <c r="E9" s="938"/>
      <c r="F9" s="938"/>
      <c r="G9" s="938"/>
      <c r="H9" s="938"/>
      <c r="I9" s="938"/>
      <c r="J9" s="938"/>
      <c r="K9" s="938"/>
      <c r="L9" s="938"/>
      <c r="M9" s="938"/>
    </row>
    <row r="11" spans="1:13" ht="30" customHeight="1">
      <c r="A11" s="587" t="s">
        <v>193</v>
      </c>
      <c r="B11" s="588"/>
      <c r="C11" s="589">
        <v>2</v>
      </c>
      <c r="D11" s="945" t="s">
        <v>519</v>
      </c>
      <c r="E11" s="946"/>
      <c r="F11" s="946"/>
      <c r="G11" s="946"/>
      <c r="H11" s="946"/>
      <c r="I11" s="946"/>
      <c r="J11" s="946"/>
      <c r="K11" s="946"/>
      <c r="L11" s="946"/>
      <c r="M11" s="946"/>
    </row>
    <row r="12" spans="1:13" s="150" customFormat="1" ht="20.100000000000001" customHeight="1">
      <c r="A12" s="939" t="s">
        <v>308</v>
      </c>
      <c r="B12" s="940"/>
      <c r="C12" s="941"/>
      <c r="D12" s="938" t="s">
        <v>769</v>
      </c>
      <c r="E12" s="938"/>
      <c r="F12" s="938"/>
      <c r="G12" s="938"/>
      <c r="H12" s="938"/>
      <c r="I12" s="938"/>
      <c r="J12" s="938"/>
      <c r="K12" s="938"/>
      <c r="L12" s="938"/>
      <c r="M12" s="938"/>
    </row>
    <row r="13" spans="1:13" ht="20.100000000000001" customHeight="1">
      <c r="A13" s="937" t="s">
        <v>296</v>
      </c>
      <c r="B13" s="937"/>
      <c r="C13" s="937"/>
      <c r="D13" s="938" t="s">
        <v>750</v>
      </c>
      <c r="E13" s="938"/>
      <c r="F13" s="938"/>
      <c r="G13" s="938"/>
      <c r="H13" s="938"/>
      <c r="I13" s="938"/>
      <c r="J13" s="938"/>
      <c r="K13" s="938"/>
      <c r="L13" s="938"/>
      <c r="M13" s="938"/>
    </row>
    <row r="14" spans="1:13" ht="20.100000000000001" customHeight="1">
      <c r="A14" s="937" t="s">
        <v>311</v>
      </c>
      <c r="B14" s="937"/>
      <c r="C14" s="937"/>
      <c r="D14" s="938" t="s">
        <v>751</v>
      </c>
      <c r="E14" s="938"/>
      <c r="F14" s="938"/>
      <c r="G14" s="938"/>
      <c r="H14" s="938"/>
      <c r="I14" s="938"/>
      <c r="J14" s="938"/>
      <c r="K14" s="938"/>
      <c r="L14" s="938"/>
      <c r="M14" s="938"/>
    </row>
    <row r="15" spans="1:13" s="150" customFormat="1" ht="20.100000000000001" customHeight="1">
      <c r="A15" s="939" t="s">
        <v>305</v>
      </c>
      <c r="B15" s="940"/>
      <c r="C15" s="941"/>
      <c r="D15" s="938" t="s">
        <v>768</v>
      </c>
      <c r="E15" s="938"/>
      <c r="F15" s="938"/>
      <c r="G15" s="938"/>
      <c r="H15" s="938"/>
      <c r="I15" s="938"/>
      <c r="J15" s="938"/>
      <c r="K15" s="938"/>
      <c r="L15" s="938"/>
      <c r="M15" s="938"/>
    </row>
    <row r="16" spans="1:13" ht="45" customHeight="1">
      <c r="A16" s="937" t="s">
        <v>297</v>
      </c>
      <c r="B16" s="937"/>
      <c r="C16" s="937"/>
      <c r="D16" s="938" t="s">
        <v>763</v>
      </c>
      <c r="E16" s="938"/>
      <c r="F16" s="938"/>
      <c r="G16" s="938"/>
      <c r="H16" s="938"/>
      <c r="I16" s="938"/>
      <c r="J16" s="938"/>
      <c r="K16" s="938"/>
      <c r="L16" s="938"/>
      <c r="M16" s="938"/>
    </row>
    <row r="17" spans="1:13" ht="60" customHeight="1">
      <c r="A17" s="937" t="s">
        <v>299</v>
      </c>
      <c r="B17" s="937"/>
      <c r="C17" s="937"/>
      <c r="D17" s="938" t="s">
        <v>764</v>
      </c>
      <c r="E17" s="938"/>
      <c r="F17" s="938"/>
      <c r="G17" s="938"/>
      <c r="H17" s="938"/>
      <c r="I17" s="938"/>
      <c r="J17" s="938"/>
      <c r="K17" s="938"/>
      <c r="L17" s="938"/>
      <c r="M17" s="938"/>
    </row>
    <row r="18" spans="1:13" ht="65.25" customHeight="1">
      <c r="A18" s="937" t="s">
        <v>292</v>
      </c>
      <c r="B18" s="937"/>
      <c r="C18" s="937"/>
      <c r="D18" s="938" t="s">
        <v>767</v>
      </c>
      <c r="E18" s="938"/>
      <c r="F18" s="938"/>
      <c r="G18" s="938"/>
      <c r="H18" s="938"/>
      <c r="I18" s="938"/>
      <c r="J18" s="938"/>
      <c r="K18" s="938"/>
      <c r="L18" s="938"/>
      <c r="M18" s="938"/>
    </row>
    <row r="19" spans="1:13" ht="20.100000000000001" customHeight="1">
      <c r="A19" s="937" t="s">
        <v>302</v>
      </c>
      <c r="B19" s="937"/>
      <c r="C19" s="937"/>
      <c r="D19" s="938" t="s">
        <v>766</v>
      </c>
      <c r="E19" s="938"/>
      <c r="F19" s="938"/>
      <c r="G19" s="938"/>
      <c r="H19" s="938"/>
      <c r="I19" s="938"/>
      <c r="J19" s="938"/>
      <c r="K19" s="938"/>
      <c r="L19" s="938"/>
      <c r="M19" s="938"/>
    </row>
    <row r="20" spans="1:13" ht="20.100000000000001" customHeight="1">
      <c r="A20" s="937" t="s">
        <v>303</v>
      </c>
      <c r="B20" s="937"/>
      <c r="C20" s="937"/>
      <c r="D20" s="938" t="s">
        <v>224</v>
      </c>
      <c r="E20" s="938"/>
      <c r="F20" s="938"/>
      <c r="G20" s="938"/>
      <c r="H20" s="938"/>
      <c r="I20" s="938"/>
      <c r="J20" s="938"/>
      <c r="K20" s="938"/>
      <c r="L20" s="938"/>
      <c r="M20" s="938"/>
    </row>
    <row r="21" spans="1:13" ht="20.100000000000001" customHeight="1"/>
    <row r="22" spans="1:13" ht="20.100000000000001" customHeight="1">
      <c r="A22" s="603" t="s">
        <v>339</v>
      </c>
      <c r="B22" s="934" t="s">
        <v>313</v>
      </c>
      <c r="C22" s="935"/>
      <c r="D22" s="936">
        <v>2021</v>
      </c>
      <c r="E22" s="936"/>
      <c r="F22" s="936">
        <v>2022</v>
      </c>
      <c r="G22" s="936"/>
      <c r="H22" s="936">
        <v>2023</v>
      </c>
      <c r="I22" s="936"/>
      <c r="J22" s="936">
        <v>2024</v>
      </c>
      <c r="K22" s="936"/>
      <c r="L22" s="936">
        <v>2025</v>
      </c>
      <c r="M22" s="936"/>
    </row>
    <row r="23" spans="1:13" ht="20.100000000000001" customHeight="1">
      <c r="A23" s="134" t="str">
        <f>D12</f>
        <v>2.1.2.</v>
      </c>
      <c r="B23" s="886">
        <f>SUM(D23:M23)</f>
        <v>25</v>
      </c>
      <c r="C23" s="890"/>
      <c r="D23" s="886">
        <v>5</v>
      </c>
      <c r="E23" s="887"/>
      <c r="F23" s="886">
        <v>5</v>
      </c>
      <c r="G23" s="887"/>
      <c r="H23" s="886">
        <v>5</v>
      </c>
      <c r="I23" s="887"/>
      <c r="J23" s="886">
        <v>5</v>
      </c>
      <c r="K23" s="887"/>
      <c r="L23" s="886">
        <v>5</v>
      </c>
      <c r="M23" s="887"/>
    </row>
    <row r="24" spans="1:13" ht="20.100000000000001" customHeight="1"/>
    <row r="25" spans="1:13" ht="20.100000000000001" customHeight="1">
      <c r="A25" s="603" t="s">
        <v>339</v>
      </c>
      <c r="B25" s="934" t="s">
        <v>173</v>
      </c>
      <c r="C25" s="935"/>
      <c r="D25" s="936">
        <v>2021</v>
      </c>
      <c r="E25" s="936"/>
      <c r="F25" s="936">
        <v>2022</v>
      </c>
      <c r="G25" s="936"/>
      <c r="H25" s="936">
        <v>2023</v>
      </c>
      <c r="I25" s="936"/>
      <c r="J25" s="936">
        <v>2024</v>
      </c>
      <c r="K25" s="936"/>
      <c r="L25" s="936">
        <v>2025</v>
      </c>
      <c r="M25" s="936"/>
    </row>
    <row r="26" spans="1:13" ht="20.100000000000001" customHeight="1">
      <c r="A26" s="134" t="str">
        <f>D12</f>
        <v>2.1.2.</v>
      </c>
      <c r="B26" s="886">
        <f>SUM(D26:M26)</f>
        <v>13520299.938523505</v>
      </c>
      <c r="C26" s="887"/>
      <c r="D26" s="886">
        <f>'Projeto SES'!G43*D23</f>
        <v>2704059.9877047008</v>
      </c>
      <c r="E26" s="887"/>
      <c r="F26" s="886">
        <f>'Projeto SES'!G43*F23</f>
        <v>2704059.9877047008</v>
      </c>
      <c r="G26" s="887"/>
      <c r="H26" s="886">
        <f>'Projeto SES'!G43*H23</f>
        <v>2704059.9877047008</v>
      </c>
      <c r="I26" s="887"/>
      <c r="J26" s="886">
        <f>'Projeto SES'!G43*J23</f>
        <v>2704059.9877047008</v>
      </c>
      <c r="K26" s="887"/>
      <c r="L26" s="886">
        <f>'Projeto SES'!G43*L23</f>
        <v>2704059.9877047008</v>
      </c>
      <c r="M26" s="887"/>
    </row>
    <row r="28" spans="1:13" ht="15" customHeight="1">
      <c r="A28" s="558">
        <v>0.04</v>
      </c>
      <c r="B28" s="532" t="s">
        <v>704</v>
      </c>
      <c r="C28" s="532"/>
      <c r="D28" s="532"/>
      <c r="E28" s="532"/>
      <c r="F28" s="532"/>
      <c r="G28" s="532"/>
      <c r="H28" s="532"/>
      <c r="I28" s="532"/>
      <c r="J28" s="532"/>
      <c r="K28" s="532"/>
      <c r="L28" s="532"/>
      <c r="M28" s="532"/>
    </row>
    <row r="29" spans="1:13" s="129" customFormat="1" ht="39.950000000000003" customHeight="1">
      <c r="A29" s="804" t="s">
        <v>341</v>
      </c>
      <c r="B29" s="804"/>
      <c r="C29" s="804"/>
      <c r="D29" s="804"/>
      <c r="E29" s="804"/>
      <c r="F29" s="804"/>
      <c r="G29" s="804"/>
      <c r="H29" s="804"/>
      <c r="I29" s="804"/>
      <c r="J29" s="804"/>
      <c r="K29" s="804"/>
      <c r="L29" s="804"/>
      <c r="M29" s="804"/>
    </row>
    <row r="31" spans="1:13" ht="26.25" customHeight="1">
      <c r="A31" s="590" t="str">
        <f>A3</f>
        <v>FINALIDADE</v>
      </c>
      <c r="B31" s="591"/>
      <c r="C31" s="602">
        <f>C3</f>
        <v>2</v>
      </c>
      <c r="D31" s="927" t="str">
        <f>D3</f>
        <v>AGENDA SETORIAL</v>
      </c>
      <c r="E31" s="927"/>
      <c r="F31" s="927"/>
      <c r="G31" s="927"/>
      <c r="H31" s="927"/>
      <c r="I31" s="927"/>
      <c r="J31" s="927"/>
      <c r="K31" s="927"/>
      <c r="L31" s="927"/>
      <c r="M31" s="927"/>
    </row>
    <row r="32" spans="1:13" ht="21.75" customHeight="1">
      <c r="A32" s="592" t="str">
        <f>A6</f>
        <v>PROGRAMA</v>
      </c>
      <c r="B32" s="593"/>
      <c r="C32" s="167">
        <f>C6</f>
        <v>1</v>
      </c>
      <c r="D32" s="885" t="str">
        <f>D6</f>
        <v>Recuperação da qualidade da água</v>
      </c>
      <c r="E32" s="885"/>
      <c r="F32" s="885"/>
      <c r="G32" s="885"/>
      <c r="H32" s="885"/>
      <c r="I32" s="885"/>
      <c r="J32" s="885"/>
      <c r="K32" s="885"/>
      <c r="L32" s="885"/>
      <c r="M32" s="885"/>
    </row>
    <row r="33" spans="1:17" ht="30" customHeight="1">
      <c r="A33" s="594" t="str">
        <f>A11</f>
        <v>AÇÃO</v>
      </c>
      <c r="B33" s="595"/>
      <c r="C33" s="167">
        <f>C11</f>
        <v>2</v>
      </c>
      <c r="D33" s="885" t="str">
        <f>D11</f>
        <v>Estudos, planos, projetos ou obras para implantação, expansão e adequação de sistemas de efluentes domésticos</v>
      </c>
      <c r="E33" s="885"/>
      <c r="F33" s="885"/>
      <c r="G33" s="885"/>
      <c r="H33" s="885"/>
      <c r="I33" s="885"/>
      <c r="J33" s="885"/>
      <c r="K33" s="885"/>
      <c r="L33" s="885"/>
      <c r="M33" s="885"/>
    </row>
    <row r="34" spans="1:17" ht="25.5" customHeight="1">
      <c r="A34" s="596" t="s">
        <v>317</v>
      </c>
      <c r="B34" s="597"/>
      <c r="C34" s="167">
        <v>1</v>
      </c>
      <c r="D34" s="885" t="s">
        <v>762</v>
      </c>
      <c r="E34" s="885"/>
      <c r="F34" s="885"/>
      <c r="G34" s="885"/>
      <c r="H34" s="885"/>
      <c r="I34" s="885"/>
      <c r="J34" s="885"/>
      <c r="K34" s="885"/>
      <c r="L34" s="885"/>
      <c r="M34" s="885"/>
    </row>
    <row r="35" spans="1:17" s="150" customFormat="1" ht="24" customHeight="1">
      <c r="A35" s="928" t="s">
        <v>308</v>
      </c>
      <c r="B35" s="929"/>
      <c r="C35" s="560"/>
      <c r="D35" s="585">
        <f>C31</f>
        <v>2</v>
      </c>
      <c r="E35" s="585">
        <f>C32</f>
        <v>1</v>
      </c>
      <c r="F35" s="585">
        <f>C33</f>
        <v>2</v>
      </c>
      <c r="G35" s="585">
        <f>C34</f>
        <v>1</v>
      </c>
      <c r="H35" s="560"/>
      <c r="I35" s="560"/>
      <c r="J35" s="560"/>
      <c r="K35" s="560"/>
      <c r="L35" s="560"/>
      <c r="M35" s="561"/>
    </row>
    <row r="36" spans="1:17" s="150" customFormat="1" ht="123" customHeight="1">
      <c r="A36" s="930" t="s">
        <v>321</v>
      </c>
      <c r="B36" s="931"/>
      <c r="C36" s="919" t="s">
        <v>770</v>
      </c>
      <c r="D36" s="920"/>
      <c r="E36" s="920"/>
      <c r="F36" s="920"/>
      <c r="G36" s="920"/>
      <c r="H36" s="920"/>
      <c r="I36" s="920"/>
      <c r="J36" s="920"/>
      <c r="K36" s="920"/>
      <c r="L36" s="920"/>
      <c r="M36" s="921"/>
      <c r="P36" s="158"/>
      <c r="Q36" s="253"/>
    </row>
    <row r="37" spans="1:17" s="150" customFormat="1" ht="20.100000000000001" customHeight="1">
      <c r="P37" s="158"/>
    </row>
    <row r="38" spans="1:17" s="150" customFormat="1" ht="24.95" customHeight="1">
      <c r="A38" s="928" t="s">
        <v>650</v>
      </c>
      <c r="B38" s="929"/>
      <c r="C38" s="932" t="s">
        <v>772</v>
      </c>
      <c r="D38" s="932"/>
      <c r="E38" s="932"/>
      <c r="F38" s="932"/>
      <c r="G38" s="932"/>
      <c r="H38" s="932"/>
      <c r="I38" s="932"/>
      <c r="J38" s="932"/>
      <c r="K38" s="932"/>
      <c r="L38" s="932"/>
      <c r="M38" s="933"/>
      <c r="P38" s="158"/>
    </row>
    <row r="39" spans="1:17" s="150" customFormat="1" ht="20.100000000000001" customHeight="1">
      <c r="A39" s="598" t="s">
        <v>338</v>
      </c>
      <c r="B39" s="599"/>
      <c r="C39" s="585" t="s">
        <v>648</v>
      </c>
      <c r="D39" s="873" t="s">
        <v>707</v>
      </c>
      <c r="E39" s="874"/>
      <c r="F39" s="874"/>
      <c r="G39" s="874"/>
      <c r="H39" s="874"/>
      <c r="I39" s="874"/>
      <c r="J39" s="874"/>
      <c r="K39" s="874"/>
      <c r="L39" s="874"/>
      <c r="M39" s="875"/>
      <c r="P39" s="158"/>
    </row>
    <row r="40" spans="1:17" s="150" customFormat="1" ht="20.100000000000001" customHeight="1">
      <c r="A40" s="600" t="s">
        <v>340</v>
      </c>
      <c r="B40" s="601"/>
      <c r="C40" s="876" t="s">
        <v>771</v>
      </c>
      <c r="D40" s="876"/>
      <c r="E40" s="876"/>
      <c r="F40" s="876"/>
      <c r="G40" s="876"/>
      <c r="H40" s="876"/>
      <c r="I40" s="876"/>
      <c r="J40" s="876"/>
      <c r="K40" s="876"/>
      <c r="L40" s="876"/>
      <c r="M40" s="877"/>
      <c r="P40" s="158"/>
    </row>
    <row r="41" spans="1:17" s="150" customFormat="1" ht="9.9499999999999993" customHeight="1">
      <c r="P41" s="158"/>
    </row>
    <row r="42" spans="1:17" s="150" customFormat="1" ht="20.100000000000001" customHeight="1">
      <c r="A42" s="161" t="s">
        <v>327</v>
      </c>
      <c r="B42" s="162">
        <v>1</v>
      </c>
      <c r="C42" s="162">
        <v>2</v>
      </c>
      <c r="D42" s="162">
        <v>3</v>
      </c>
      <c r="E42" s="162">
        <v>4</v>
      </c>
      <c r="F42" s="162">
        <v>5</v>
      </c>
      <c r="G42" s="162">
        <v>6</v>
      </c>
      <c r="H42" s="162">
        <v>7</v>
      </c>
      <c r="I42" s="162">
        <v>8</v>
      </c>
      <c r="J42" s="162">
        <v>9</v>
      </c>
      <c r="K42" s="162">
        <v>10</v>
      </c>
      <c r="L42" s="162">
        <v>11</v>
      </c>
      <c r="M42" s="162">
        <v>12</v>
      </c>
    </row>
    <row r="43" spans="1:17" s="150" customFormat="1" ht="20.100000000000001" customHeight="1">
      <c r="A43" s="161" t="s">
        <v>328</v>
      </c>
      <c r="B43" s="566"/>
      <c r="C43" s="566"/>
      <c r="D43" s="566"/>
      <c r="E43" s="164"/>
      <c r="F43" s="164"/>
      <c r="G43" s="164"/>
      <c r="H43" s="164"/>
      <c r="I43" s="164"/>
      <c r="J43" s="164"/>
      <c r="K43" s="164"/>
      <c r="L43" s="164"/>
      <c r="M43" s="164"/>
    </row>
    <row r="44" spans="1:17" s="150" customFormat="1" ht="20.100000000000001" customHeight="1">
      <c r="A44" s="161" t="s">
        <v>329</v>
      </c>
      <c r="B44" s="566"/>
      <c r="C44" s="566"/>
      <c r="D44" s="566"/>
      <c r="E44" s="947">
        <f>D26</f>
        <v>2704059.9877047008</v>
      </c>
      <c r="F44" s="948"/>
      <c r="G44" s="243"/>
      <c r="H44" s="243"/>
      <c r="I44" s="243"/>
      <c r="J44" s="243"/>
      <c r="K44" s="243"/>
      <c r="L44" s="243"/>
      <c r="M44" s="243"/>
      <c r="O44" s="563"/>
    </row>
    <row r="45" spans="1:17" s="150" customFormat="1" ht="20.100000000000001" customHeight="1">
      <c r="O45" s="563"/>
    </row>
    <row r="46" spans="1:17" s="150" customFormat="1" ht="20.100000000000001" customHeight="1">
      <c r="A46" s="161" t="s">
        <v>327</v>
      </c>
      <c r="B46" s="162">
        <v>13</v>
      </c>
      <c r="C46" s="162">
        <v>14</v>
      </c>
      <c r="D46" s="162">
        <v>15</v>
      </c>
      <c r="E46" s="162">
        <v>16</v>
      </c>
      <c r="F46" s="162">
        <v>17</v>
      </c>
      <c r="G46" s="162">
        <v>18</v>
      </c>
      <c r="H46" s="162">
        <v>19</v>
      </c>
      <c r="I46" s="162">
        <v>20</v>
      </c>
      <c r="J46" s="162">
        <v>21</v>
      </c>
      <c r="K46" s="162">
        <v>22</v>
      </c>
      <c r="L46" s="162">
        <v>23</v>
      </c>
      <c r="M46" s="162">
        <v>24</v>
      </c>
      <c r="O46" s="563"/>
    </row>
    <row r="47" spans="1:17" s="150" customFormat="1" ht="20.100000000000001" customHeight="1">
      <c r="A47" s="161" t="s">
        <v>328</v>
      </c>
      <c r="B47" s="566"/>
      <c r="C47" s="566"/>
      <c r="D47" s="566"/>
      <c r="E47" s="164"/>
      <c r="F47" s="164"/>
      <c r="G47" s="164"/>
      <c r="H47" s="164"/>
      <c r="I47" s="164"/>
      <c r="J47" s="164"/>
      <c r="K47" s="164"/>
      <c r="L47" s="164"/>
      <c r="M47" s="164"/>
      <c r="O47" s="563"/>
    </row>
    <row r="48" spans="1:17" s="150" customFormat="1" ht="20.100000000000001" customHeight="1">
      <c r="A48" s="161" t="s">
        <v>329</v>
      </c>
      <c r="B48" s="566"/>
      <c r="C48" s="566"/>
      <c r="D48" s="566"/>
      <c r="E48" s="947">
        <f>F26</f>
        <v>2704059.9877047008</v>
      </c>
      <c r="F48" s="948"/>
      <c r="G48" s="243"/>
      <c r="H48" s="243"/>
      <c r="I48" s="243"/>
      <c r="J48" s="243"/>
      <c r="K48" s="243"/>
      <c r="L48" s="243"/>
      <c r="M48" s="243"/>
      <c r="O48" s="563"/>
    </row>
    <row r="49" spans="1:15" s="150" customFormat="1" ht="20.100000000000001" customHeight="1">
      <c r="O49" s="563"/>
    </row>
    <row r="50" spans="1:15" s="150" customFormat="1" ht="20.100000000000001" customHeight="1">
      <c r="A50" s="161" t="s">
        <v>327</v>
      </c>
      <c r="B50" s="162">
        <v>25</v>
      </c>
      <c r="C50" s="162">
        <v>26</v>
      </c>
      <c r="D50" s="162">
        <v>27</v>
      </c>
      <c r="E50" s="162">
        <v>28</v>
      </c>
      <c r="F50" s="162">
        <v>29</v>
      </c>
      <c r="G50" s="162">
        <v>30</v>
      </c>
      <c r="H50" s="162">
        <v>31</v>
      </c>
      <c r="I50" s="162">
        <v>32</v>
      </c>
      <c r="J50" s="162">
        <v>33</v>
      </c>
      <c r="K50" s="162">
        <v>34</v>
      </c>
      <c r="L50" s="162">
        <v>35</v>
      </c>
      <c r="M50" s="162">
        <v>36</v>
      </c>
      <c r="O50" s="563"/>
    </row>
    <row r="51" spans="1:15" s="150" customFormat="1" ht="20.100000000000001" customHeight="1">
      <c r="A51" s="161" t="s">
        <v>328</v>
      </c>
      <c r="B51" s="566"/>
      <c r="C51" s="566"/>
      <c r="D51" s="566"/>
      <c r="E51" s="164"/>
      <c r="F51" s="164"/>
      <c r="G51" s="164"/>
      <c r="H51" s="164"/>
      <c r="I51" s="164"/>
      <c r="J51" s="164"/>
      <c r="K51" s="164"/>
      <c r="L51" s="164"/>
      <c r="M51" s="164"/>
      <c r="O51" s="563"/>
    </row>
    <row r="52" spans="1:15" s="150" customFormat="1" ht="20.100000000000001" customHeight="1">
      <c r="A52" s="161" t="s">
        <v>329</v>
      </c>
      <c r="B52" s="566"/>
      <c r="C52" s="566"/>
      <c r="D52" s="566"/>
      <c r="E52" s="947">
        <f>H26</f>
        <v>2704059.9877047008</v>
      </c>
      <c r="F52" s="948"/>
      <c r="G52" s="243"/>
      <c r="H52" s="243"/>
      <c r="I52" s="243"/>
      <c r="J52" s="243"/>
      <c r="K52" s="243"/>
      <c r="L52" s="243"/>
      <c r="M52" s="243"/>
      <c r="O52" s="563"/>
    </row>
    <row r="53" spans="1:15" s="150" customFormat="1" ht="20.100000000000001" customHeight="1">
      <c r="O53" s="563"/>
    </row>
    <row r="54" spans="1:15" s="150" customFormat="1" ht="20.100000000000001" customHeight="1">
      <c r="A54" s="161" t="s">
        <v>327</v>
      </c>
      <c r="B54" s="162">
        <v>37</v>
      </c>
      <c r="C54" s="162">
        <v>38</v>
      </c>
      <c r="D54" s="162">
        <v>39</v>
      </c>
      <c r="E54" s="162">
        <v>40</v>
      </c>
      <c r="F54" s="162">
        <v>41</v>
      </c>
      <c r="G54" s="162">
        <v>42</v>
      </c>
      <c r="H54" s="162">
        <v>43</v>
      </c>
      <c r="I54" s="162">
        <v>44</v>
      </c>
      <c r="J54" s="162">
        <v>45</v>
      </c>
      <c r="K54" s="162">
        <v>46</v>
      </c>
      <c r="L54" s="162">
        <v>47</v>
      </c>
      <c r="M54" s="162">
        <v>48</v>
      </c>
      <c r="O54" s="563"/>
    </row>
    <row r="55" spans="1:15" s="150" customFormat="1" ht="20.100000000000001" customHeight="1">
      <c r="A55" s="161" t="s">
        <v>328</v>
      </c>
      <c r="B55" s="566"/>
      <c r="C55" s="566"/>
      <c r="D55" s="566"/>
      <c r="E55" s="164"/>
      <c r="F55" s="164"/>
      <c r="G55" s="164"/>
      <c r="H55" s="164"/>
      <c r="I55" s="164"/>
      <c r="J55" s="164"/>
      <c r="K55" s="164"/>
      <c r="L55" s="164"/>
      <c r="M55" s="164"/>
      <c r="O55" s="563"/>
    </row>
    <row r="56" spans="1:15" s="150" customFormat="1" ht="20.100000000000001" customHeight="1">
      <c r="A56" s="161" t="s">
        <v>329</v>
      </c>
      <c r="B56" s="566"/>
      <c r="C56" s="566"/>
      <c r="D56" s="566"/>
      <c r="E56" s="947">
        <f>J26</f>
        <v>2704059.9877047008</v>
      </c>
      <c r="F56" s="948"/>
      <c r="G56" s="243"/>
      <c r="H56" s="243"/>
      <c r="I56" s="243"/>
      <c r="J56" s="243"/>
      <c r="K56" s="243"/>
      <c r="L56" s="243"/>
      <c r="M56" s="243"/>
      <c r="O56" s="563"/>
    </row>
    <row r="57" spans="1:15" s="150" customFormat="1" ht="20.100000000000001" customHeight="1">
      <c r="B57" s="563"/>
      <c r="O57" s="563"/>
    </row>
    <row r="58" spans="1:15" s="150" customFormat="1" ht="20.100000000000001" customHeight="1">
      <c r="A58" s="161" t="s">
        <v>327</v>
      </c>
      <c r="B58" s="162">
        <v>49</v>
      </c>
      <c r="C58" s="162">
        <v>50</v>
      </c>
      <c r="D58" s="162">
        <v>51</v>
      </c>
      <c r="E58" s="162">
        <v>52</v>
      </c>
      <c r="F58" s="162">
        <v>53</v>
      </c>
      <c r="G58" s="162">
        <v>54</v>
      </c>
      <c r="H58" s="162">
        <v>55</v>
      </c>
      <c r="I58" s="162">
        <v>56</v>
      </c>
      <c r="J58" s="162">
        <v>57</v>
      </c>
      <c r="K58" s="162">
        <v>58</v>
      </c>
      <c r="L58" s="162">
        <v>59</v>
      </c>
      <c r="M58" s="162">
        <v>60</v>
      </c>
      <c r="O58" s="563"/>
    </row>
    <row r="59" spans="1:15" s="150" customFormat="1" ht="20.100000000000001" customHeight="1">
      <c r="A59" s="161" t="s">
        <v>328</v>
      </c>
      <c r="B59" s="566"/>
      <c r="C59" s="566"/>
      <c r="D59" s="566"/>
      <c r="E59" s="164"/>
      <c r="F59" s="164"/>
      <c r="G59" s="164"/>
      <c r="H59" s="164"/>
      <c r="I59" s="164"/>
      <c r="J59" s="164"/>
      <c r="K59" s="164"/>
      <c r="L59" s="164"/>
      <c r="M59" s="164"/>
      <c r="O59" s="563"/>
    </row>
    <row r="60" spans="1:15" s="150" customFormat="1" ht="20.100000000000001" customHeight="1">
      <c r="A60" s="161" t="s">
        <v>329</v>
      </c>
      <c r="B60" s="566"/>
      <c r="C60" s="566"/>
      <c r="D60" s="566"/>
      <c r="E60" s="947">
        <f>L26</f>
        <v>2704059.9877047008</v>
      </c>
      <c r="F60" s="948"/>
      <c r="G60" s="243"/>
      <c r="H60" s="243"/>
      <c r="I60" s="243"/>
      <c r="J60" s="243"/>
      <c r="K60" s="243"/>
      <c r="L60" s="243"/>
      <c r="M60" s="243"/>
      <c r="O60" s="563"/>
    </row>
    <row r="61" spans="1:15" s="150" customFormat="1" ht="20.100000000000001" customHeight="1">
      <c r="O61" s="563"/>
    </row>
    <row r="62" spans="1:15" s="150" customFormat="1" ht="20.100000000000001" customHeight="1"/>
  </sheetData>
  <mergeCells count="71">
    <mergeCell ref="E44:F44"/>
    <mergeCell ref="E48:F48"/>
    <mergeCell ref="E52:F52"/>
    <mergeCell ref="E56:F56"/>
    <mergeCell ref="E60:F60"/>
    <mergeCell ref="C40:M40"/>
    <mergeCell ref="A29:M29"/>
    <mergeCell ref="D31:M31"/>
    <mergeCell ref="D32:M32"/>
    <mergeCell ref="D33:M33"/>
    <mergeCell ref="D34:M34"/>
    <mergeCell ref="A35:B35"/>
    <mergeCell ref="A36:B36"/>
    <mergeCell ref="C36:M36"/>
    <mergeCell ref="A38:B38"/>
    <mergeCell ref="C38:M38"/>
    <mergeCell ref="D39:M39"/>
    <mergeCell ref="L26:M26"/>
    <mergeCell ref="B25:C25"/>
    <mergeCell ref="D25:E25"/>
    <mergeCell ref="F25:G25"/>
    <mergeCell ref="H25:I25"/>
    <mergeCell ref="J25:K25"/>
    <mergeCell ref="L25:M25"/>
    <mergeCell ref="B26:C26"/>
    <mergeCell ref="D26:E26"/>
    <mergeCell ref="F26:G26"/>
    <mergeCell ref="H26:I26"/>
    <mergeCell ref="J26:K26"/>
    <mergeCell ref="L23:M23"/>
    <mergeCell ref="A19:C19"/>
    <mergeCell ref="D19:M19"/>
    <mergeCell ref="A20:C20"/>
    <mergeCell ref="D20:M20"/>
    <mergeCell ref="B22:C22"/>
    <mergeCell ref="D22:E22"/>
    <mergeCell ref="F22:G22"/>
    <mergeCell ref="H22:I22"/>
    <mergeCell ref="J22:K22"/>
    <mergeCell ref="L22:M22"/>
    <mergeCell ref="B23:C23"/>
    <mergeCell ref="D23:E23"/>
    <mergeCell ref="F23:G23"/>
    <mergeCell ref="H23:I23"/>
    <mergeCell ref="J23:K23"/>
    <mergeCell ref="A16:C16"/>
    <mergeCell ref="D16:M16"/>
    <mergeCell ref="A17:C17"/>
    <mergeCell ref="D17:M17"/>
    <mergeCell ref="A18:C18"/>
    <mergeCell ref="D18:M18"/>
    <mergeCell ref="A13:C13"/>
    <mergeCell ref="D13:M13"/>
    <mergeCell ref="A14:C14"/>
    <mergeCell ref="D14:M14"/>
    <mergeCell ref="A15:C15"/>
    <mergeCell ref="D15:M15"/>
    <mergeCell ref="A12:C12"/>
    <mergeCell ref="D12:M12"/>
    <mergeCell ref="A1:M1"/>
    <mergeCell ref="D3:M3"/>
    <mergeCell ref="A4:C4"/>
    <mergeCell ref="D4:M4"/>
    <mergeCell ref="D6:M6"/>
    <mergeCell ref="A7:C7"/>
    <mergeCell ref="D7:M7"/>
    <mergeCell ref="A8:C8"/>
    <mergeCell ref="D8:M8"/>
    <mergeCell ref="A9:C9"/>
    <mergeCell ref="D9:M9"/>
    <mergeCell ref="D11:M11"/>
  </mergeCells>
  <printOptions horizontalCentered="1"/>
  <pageMargins left="0.51181102362204722" right="0.51181102362204722" top="0.78740157480314965" bottom="0.78740157480314965" header="0.31496062992125984" footer="0.31496062992125984"/>
  <pageSetup paperSize="9" scale="93" orientation="portrait" r:id="rId1"/>
  <headerFooter>
    <oddFooter>&amp;L&amp;F&amp;C&amp;A&amp;R&amp;P/&amp;N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Q62"/>
  <sheetViews>
    <sheetView topLeftCell="A32" workbookViewId="0">
      <selection activeCell="E40" sqref="E40"/>
    </sheetView>
  </sheetViews>
  <sheetFormatPr defaultRowHeight="15"/>
  <cols>
    <col min="1" max="1" width="10.125" style="130" customWidth="1"/>
    <col min="2" max="13" width="6.625" style="130" customWidth="1"/>
    <col min="14" max="16384" width="9" style="130"/>
  </cols>
  <sheetData>
    <row r="1" spans="1:13" s="129" customFormat="1" ht="39.950000000000003" customHeight="1">
      <c r="A1" s="804" t="s">
        <v>777</v>
      </c>
      <c r="B1" s="804"/>
      <c r="C1" s="804"/>
      <c r="D1" s="804"/>
      <c r="E1" s="804"/>
      <c r="F1" s="804"/>
      <c r="G1" s="804"/>
      <c r="H1" s="804"/>
      <c r="I1" s="804"/>
      <c r="J1" s="804"/>
      <c r="K1" s="804"/>
      <c r="L1" s="804"/>
      <c r="M1" s="804"/>
    </row>
    <row r="3" spans="1:13" ht="20.100000000000001" customHeight="1">
      <c r="A3" s="587" t="s">
        <v>190</v>
      </c>
      <c r="B3" s="588"/>
      <c r="C3" s="589">
        <v>2</v>
      </c>
      <c r="D3" s="942" t="s">
        <v>512</v>
      </c>
      <c r="E3" s="943"/>
      <c r="F3" s="943"/>
      <c r="G3" s="943"/>
      <c r="H3" s="943"/>
      <c r="I3" s="943"/>
      <c r="J3" s="943"/>
      <c r="K3" s="943"/>
      <c r="L3" s="943"/>
      <c r="M3" s="944"/>
    </row>
    <row r="4" spans="1:13" ht="45" customHeight="1">
      <c r="A4" s="937" t="s">
        <v>294</v>
      </c>
      <c r="B4" s="937"/>
      <c r="C4" s="937"/>
      <c r="D4" s="938" t="s">
        <v>742</v>
      </c>
      <c r="E4" s="938"/>
      <c r="F4" s="938"/>
      <c r="G4" s="938"/>
      <c r="H4" s="938"/>
      <c r="I4" s="938"/>
      <c r="J4" s="938"/>
      <c r="K4" s="938"/>
      <c r="L4" s="938"/>
      <c r="M4" s="938"/>
    </row>
    <row r="6" spans="1:13" ht="20.100000000000001" customHeight="1">
      <c r="A6" s="587" t="s">
        <v>192</v>
      </c>
      <c r="B6" s="588"/>
      <c r="C6" s="589">
        <v>1</v>
      </c>
      <c r="D6" s="942" t="s">
        <v>513</v>
      </c>
      <c r="E6" s="943"/>
      <c r="F6" s="943"/>
      <c r="G6" s="943"/>
      <c r="H6" s="943"/>
      <c r="I6" s="943"/>
      <c r="J6" s="943"/>
      <c r="K6" s="943"/>
      <c r="L6" s="943"/>
      <c r="M6" s="943"/>
    </row>
    <row r="7" spans="1:13" ht="45" customHeight="1">
      <c r="A7" s="937" t="s">
        <v>291</v>
      </c>
      <c r="B7" s="937"/>
      <c r="C7" s="937"/>
      <c r="D7" s="938" t="s">
        <v>743</v>
      </c>
      <c r="E7" s="938"/>
      <c r="F7" s="938"/>
      <c r="G7" s="938"/>
      <c r="H7" s="938"/>
      <c r="I7" s="938"/>
      <c r="J7" s="938"/>
      <c r="K7" s="938"/>
      <c r="L7" s="938"/>
      <c r="M7" s="938"/>
    </row>
    <row r="8" spans="1:13" ht="45" customHeight="1">
      <c r="A8" s="937" t="s">
        <v>293</v>
      </c>
      <c r="B8" s="937"/>
      <c r="C8" s="937"/>
      <c r="D8" s="938" t="s">
        <v>744</v>
      </c>
      <c r="E8" s="938"/>
      <c r="F8" s="938"/>
      <c r="G8" s="938"/>
      <c r="H8" s="938"/>
      <c r="I8" s="938"/>
      <c r="J8" s="938"/>
      <c r="K8" s="938"/>
      <c r="L8" s="938"/>
      <c r="M8" s="938"/>
    </row>
    <row r="9" spans="1:13" ht="65.25" customHeight="1">
      <c r="A9" s="937" t="s">
        <v>292</v>
      </c>
      <c r="B9" s="937"/>
      <c r="C9" s="937"/>
      <c r="D9" s="938" t="s">
        <v>745</v>
      </c>
      <c r="E9" s="938"/>
      <c r="F9" s="938"/>
      <c r="G9" s="938"/>
      <c r="H9" s="938"/>
      <c r="I9" s="938"/>
      <c r="J9" s="938"/>
      <c r="K9" s="938"/>
      <c r="L9" s="938"/>
      <c r="M9" s="938"/>
    </row>
    <row r="11" spans="1:13" ht="30" customHeight="1">
      <c r="A11" s="587" t="s">
        <v>193</v>
      </c>
      <c r="B11" s="588"/>
      <c r="C11" s="589">
        <v>2</v>
      </c>
      <c r="D11" s="945" t="s">
        <v>519</v>
      </c>
      <c r="E11" s="946"/>
      <c r="F11" s="946"/>
      <c r="G11" s="946"/>
      <c r="H11" s="946"/>
      <c r="I11" s="946"/>
      <c r="J11" s="946"/>
      <c r="K11" s="946"/>
      <c r="L11" s="946"/>
      <c r="M11" s="946"/>
    </row>
    <row r="12" spans="1:13" s="150" customFormat="1" ht="20.100000000000001" customHeight="1">
      <c r="A12" s="939" t="s">
        <v>308</v>
      </c>
      <c r="B12" s="940"/>
      <c r="C12" s="941"/>
      <c r="D12" s="938" t="s">
        <v>769</v>
      </c>
      <c r="E12" s="938"/>
      <c r="F12" s="938"/>
      <c r="G12" s="938"/>
      <c r="H12" s="938"/>
      <c r="I12" s="938"/>
      <c r="J12" s="938"/>
      <c r="K12" s="938"/>
      <c r="L12" s="938"/>
      <c r="M12" s="938"/>
    </row>
    <row r="13" spans="1:13" ht="20.100000000000001" customHeight="1">
      <c r="A13" s="937" t="s">
        <v>296</v>
      </c>
      <c r="B13" s="937"/>
      <c r="C13" s="937"/>
      <c r="D13" s="938" t="s">
        <v>750</v>
      </c>
      <c r="E13" s="938"/>
      <c r="F13" s="938"/>
      <c r="G13" s="938"/>
      <c r="H13" s="938"/>
      <c r="I13" s="938"/>
      <c r="J13" s="938"/>
      <c r="K13" s="938"/>
      <c r="L13" s="938"/>
      <c r="M13" s="938"/>
    </row>
    <row r="14" spans="1:13" ht="20.100000000000001" customHeight="1">
      <c r="A14" s="937" t="s">
        <v>311</v>
      </c>
      <c r="B14" s="937"/>
      <c r="C14" s="937"/>
      <c r="D14" s="938" t="s">
        <v>751</v>
      </c>
      <c r="E14" s="938"/>
      <c r="F14" s="938"/>
      <c r="G14" s="938"/>
      <c r="H14" s="938"/>
      <c r="I14" s="938"/>
      <c r="J14" s="938"/>
      <c r="K14" s="938"/>
      <c r="L14" s="938"/>
      <c r="M14" s="938"/>
    </row>
    <row r="15" spans="1:13" s="150" customFormat="1" ht="20.100000000000001" customHeight="1">
      <c r="A15" s="939" t="s">
        <v>305</v>
      </c>
      <c r="B15" s="940"/>
      <c r="C15" s="941"/>
      <c r="D15" s="938" t="s">
        <v>654</v>
      </c>
      <c r="E15" s="938"/>
      <c r="F15" s="938"/>
      <c r="G15" s="938"/>
      <c r="H15" s="938"/>
      <c r="I15" s="938"/>
      <c r="J15" s="938"/>
      <c r="K15" s="938"/>
      <c r="L15" s="938"/>
      <c r="M15" s="938"/>
    </row>
    <row r="16" spans="1:13" ht="45" customHeight="1">
      <c r="A16" s="937" t="s">
        <v>297</v>
      </c>
      <c r="B16" s="937"/>
      <c r="C16" s="937"/>
      <c r="D16" s="938" t="s">
        <v>763</v>
      </c>
      <c r="E16" s="938"/>
      <c r="F16" s="938"/>
      <c r="G16" s="938"/>
      <c r="H16" s="938"/>
      <c r="I16" s="938"/>
      <c r="J16" s="938"/>
      <c r="K16" s="938"/>
      <c r="L16" s="938"/>
      <c r="M16" s="938"/>
    </row>
    <row r="17" spans="1:13" ht="60" customHeight="1">
      <c r="A17" s="937" t="s">
        <v>299</v>
      </c>
      <c r="B17" s="937"/>
      <c r="C17" s="937"/>
      <c r="D17" s="938" t="s">
        <v>764</v>
      </c>
      <c r="E17" s="938"/>
      <c r="F17" s="938"/>
      <c r="G17" s="938"/>
      <c r="H17" s="938"/>
      <c r="I17" s="938"/>
      <c r="J17" s="938"/>
      <c r="K17" s="938"/>
      <c r="L17" s="938"/>
      <c r="M17" s="938"/>
    </row>
    <row r="18" spans="1:13" ht="65.25" customHeight="1">
      <c r="A18" s="937" t="s">
        <v>292</v>
      </c>
      <c r="B18" s="937"/>
      <c r="C18" s="937"/>
      <c r="D18" s="938" t="s">
        <v>767</v>
      </c>
      <c r="E18" s="938"/>
      <c r="F18" s="938"/>
      <c r="G18" s="938"/>
      <c r="H18" s="938"/>
      <c r="I18" s="938"/>
      <c r="J18" s="938"/>
      <c r="K18" s="938"/>
      <c r="L18" s="938"/>
      <c r="M18" s="938"/>
    </row>
    <row r="19" spans="1:13" ht="20.100000000000001" customHeight="1">
      <c r="A19" s="937" t="s">
        <v>302</v>
      </c>
      <c r="B19" s="937"/>
      <c r="C19" s="937"/>
      <c r="D19" s="938" t="s">
        <v>765</v>
      </c>
      <c r="E19" s="938"/>
      <c r="F19" s="938"/>
      <c r="G19" s="938"/>
      <c r="H19" s="938"/>
      <c r="I19" s="938"/>
      <c r="J19" s="938"/>
      <c r="K19" s="938"/>
      <c r="L19" s="938"/>
      <c r="M19" s="938"/>
    </row>
    <row r="20" spans="1:13" ht="20.100000000000001" customHeight="1">
      <c r="A20" s="937" t="s">
        <v>303</v>
      </c>
      <c r="B20" s="937"/>
      <c r="C20" s="937"/>
      <c r="D20" s="938" t="s">
        <v>224</v>
      </c>
      <c r="E20" s="938"/>
      <c r="F20" s="938"/>
      <c r="G20" s="938"/>
      <c r="H20" s="938"/>
      <c r="I20" s="938"/>
      <c r="J20" s="938"/>
      <c r="K20" s="938"/>
      <c r="L20" s="938"/>
      <c r="M20" s="938"/>
    </row>
    <row r="21" spans="1:13" ht="20.100000000000001" customHeight="1"/>
    <row r="22" spans="1:13" ht="20.100000000000001" customHeight="1">
      <c r="A22" s="603" t="s">
        <v>339</v>
      </c>
      <c r="B22" s="934" t="s">
        <v>313</v>
      </c>
      <c r="C22" s="935"/>
      <c r="D22" s="936">
        <v>2021</v>
      </c>
      <c r="E22" s="936"/>
      <c r="F22" s="936">
        <v>2022</v>
      </c>
      <c r="G22" s="936"/>
      <c r="H22" s="936">
        <v>2023</v>
      </c>
      <c r="I22" s="936"/>
      <c r="J22" s="936">
        <v>2024</v>
      </c>
      <c r="K22" s="936"/>
      <c r="L22" s="936">
        <v>2025</v>
      </c>
      <c r="M22" s="936"/>
    </row>
    <row r="23" spans="1:13" ht="20.100000000000001" customHeight="1">
      <c r="A23" s="134" t="str">
        <f>D12</f>
        <v>2.1.2.</v>
      </c>
      <c r="B23" s="886">
        <f>SUM(D23:M23)</f>
        <v>22</v>
      </c>
      <c r="C23" s="890"/>
      <c r="D23" s="886">
        <v>2</v>
      </c>
      <c r="E23" s="887"/>
      <c r="F23" s="886">
        <v>5</v>
      </c>
      <c r="G23" s="887"/>
      <c r="H23" s="886">
        <v>5</v>
      </c>
      <c r="I23" s="887"/>
      <c r="J23" s="886">
        <v>5</v>
      </c>
      <c r="K23" s="887"/>
      <c r="L23" s="886">
        <v>5</v>
      </c>
      <c r="M23" s="887"/>
    </row>
    <row r="24" spans="1:13" ht="20.100000000000001" customHeight="1"/>
    <row r="25" spans="1:13" ht="20.100000000000001" customHeight="1">
      <c r="A25" s="603" t="s">
        <v>339</v>
      </c>
      <c r="B25" s="934" t="s">
        <v>173</v>
      </c>
      <c r="C25" s="935"/>
      <c r="D25" s="936">
        <v>2021</v>
      </c>
      <c r="E25" s="936"/>
      <c r="F25" s="936">
        <v>2022</v>
      </c>
      <c r="G25" s="936"/>
      <c r="H25" s="936">
        <v>2023</v>
      </c>
      <c r="I25" s="936"/>
      <c r="J25" s="936">
        <v>2024</v>
      </c>
      <c r="K25" s="936"/>
      <c r="L25" s="936">
        <v>2025</v>
      </c>
      <c r="M25" s="936"/>
    </row>
    <row r="26" spans="1:13" ht="20.100000000000001" customHeight="1">
      <c r="A26" s="134" t="str">
        <f>D12</f>
        <v>2.1.2.</v>
      </c>
      <c r="B26" s="886">
        <f>SUM(D26:M26)</f>
        <v>5811992.3283246774</v>
      </c>
      <c r="C26" s="887"/>
      <c r="D26" s="886">
        <f>'Gererenciadora agenda marrom'!G37/2</f>
        <v>591091.43647448916</v>
      </c>
      <c r="E26" s="887"/>
      <c r="F26" s="886">
        <f>'Gererenciadora agenda marrom'!G37*(1+$A$28)</f>
        <v>1229470.1878669376</v>
      </c>
      <c r="G26" s="887"/>
      <c r="H26" s="886">
        <f>F26*(1+$A$28)</f>
        <v>1278648.9953816151</v>
      </c>
      <c r="I26" s="887"/>
      <c r="J26" s="886">
        <f t="shared" ref="J26" si="0">H26*(1+$A$28)</f>
        <v>1329794.9551968798</v>
      </c>
      <c r="K26" s="887"/>
      <c r="L26" s="886">
        <f t="shared" ref="L26" si="1">J26*(1+$A$28)</f>
        <v>1382986.7534047551</v>
      </c>
      <c r="M26" s="887"/>
    </row>
    <row r="28" spans="1:13" ht="15" customHeight="1">
      <c r="A28" s="558">
        <v>0.04</v>
      </c>
      <c r="B28" s="532" t="s">
        <v>704</v>
      </c>
      <c r="C28" s="532"/>
      <c r="D28" s="532"/>
      <c r="E28" s="532"/>
      <c r="F28" s="532"/>
      <c r="G28" s="532"/>
      <c r="H28" s="532"/>
      <c r="I28" s="532"/>
      <c r="J28" s="532"/>
      <c r="K28" s="532"/>
      <c r="L28" s="532"/>
      <c r="M28" s="532"/>
    </row>
    <row r="29" spans="1:13" s="129" customFormat="1" ht="39.950000000000003" customHeight="1">
      <c r="A29" s="804" t="s">
        <v>341</v>
      </c>
      <c r="B29" s="804"/>
      <c r="C29" s="804"/>
      <c r="D29" s="804"/>
      <c r="E29" s="804"/>
      <c r="F29" s="804"/>
      <c r="G29" s="804"/>
      <c r="H29" s="804"/>
      <c r="I29" s="804"/>
      <c r="J29" s="804"/>
      <c r="K29" s="804"/>
      <c r="L29" s="804"/>
      <c r="M29" s="804"/>
    </row>
    <row r="31" spans="1:13" ht="26.25" customHeight="1">
      <c r="A31" s="590" t="str">
        <f>A3</f>
        <v>FINALIDADE</v>
      </c>
      <c r="B31" s="591"/>
      <c r="C31" s="602">
        <f>C3</f>
        <v>2</v>
      </c>
      <c r="D31" s="927" t="str">
        <f>D3</f>
        <v>AGENDA SETORIAL</v>
      </c>
      <c r="E31" s="927"/>
      <c r="F31" s="927"/>
      <c r="G31" s="927"/>
      <c r="H31" s="927"/>
      <c r="I31" s="927"/>
      <c r="J31" s="927"/>
      <c r="K31" s="927"/>
      <c r="L31" s="927"/>
      <c r="M31" s="927"/>
    </row>
    <row r="32" spans="1:13" ht="21.75" customHeight="1">
      <c r="A32" s="592" t="str">
        <f>A6</f>
        <v>PROGRAMA</v>
      </c>
      <c r="B32" s="593"/>
      <c r="C32" s="167">
        <f>C6</f>
        <v>1</v>
      </c>
      <c r="D32" s="885" t="str">
        <f>D6</f>
        <v>Recuperação da qualidade da água</v>
      </c>
      <c r="E32" s="885"/>
      <c r="F32" s="885"/>
      <c r="G32" s="885"/>
      <c r="H32" s="885"/>
      <c r="I32" s="885"/>
      <c r="J32" s="885"/>
      <c r="K32" s="885"/>
      <c r="L32" s="885"/>
      <c r="M32" s="885"/>
    </row>
    <row r="33" spans="1:17" ht="30" customHeight="1">
      <c r="A33" s="594" t="str">
        <f>A11</f>
        <v>AÇÃO</v>
      </c>
      <c r="B33" s="595"/>
      <c r="C33" s="167">
        <f>C11</f>
        <v>2</v>
      </c>
      <c r="D33" s="885" t="str">
        <f>D11</f>
        <v>Estudos, planos, projetos ou obras para implantação, expansão e adequação de sistemas de efluentes domésticos</v>
      </c>
      <c r="E33" s="885"/>
      <c r="F33" s="885"/>
      <c r="G33" s="885"/>
      <c r="H33" s="885"/>
      <c r="I33" s="885"/>
      <c r="J33" s="885"/>
      <c r="K33" s="885"/>
      <c r="L33" s="885"/>
      <c r="M33" s="885"/>
    </row>
    <row r="34" spans="1:17" ht="25.5" customHeight="1">
      <c r="A34" s="596" t="s">
        <v>317</v>
      </c>
      <c r="B34" s="597"/>
      <c r="C34" s="167">
        <v>5</v>
      </c>
      <c r="D34" s="885" t="s">
        <v>774</v>
      </c>
      <c r="E34" s="885"/>
      <c r="F34" s="885"/>
      <c r="G34" s="885"/>
      <c r="H34" s="885"/>
      <c r="I34" s="885"/>
      <c r="J34" s="885"/>
      <c r="K34" s="885"/>
      <c r="L34" s="885"/>
      <c r="M34" s="885"/>
    </row>
    <row r="35" spans="1:17" s="150" customFormat="1" ht="24" customHeight="1">
      <c r="A35" s="928" t="s">
        <v>308</v>
      </c>
      <c r="B35" s="929"/>
      <c r="C35" s="560"/>
      <c r="D35" s="585">
        <f>C31</f>
        <v>2</v>
      </c>
      <c r="E35" s="585">
        <f>C32</f>
        <v>1</v>
      </c>
      <c r="F35" s="585">
        <f>C33</f>
        <v>2</v>
      </c>
      <c r="G35" s="585">
        <f>C34</f>
        <v>5</v>
      </c>
      <c r="H35" s="560"/>
      <c r="I35" s="560"/>
      <c r="J35" s="560"/>
      <c r="K35" s="560"/>
      <c r="L35" s="560"/>
      <c r="M35" s="561"/>
    </row>
    <row r="36" spans="1:17" s="150" customFormat="1" ht="123" customHeight="1">
      <c r="A36" s="930" t="s">
        <v>321</v>
      </c>
      <c r="B36" s="931"/>
      <c r="C36" s="919" t="s">
        <v>775</v>
      </c>
      <c r="D36" s="920"/>
      <c r="E36" s="920"/>
      <c r="F36" s="920"/>
      <c r="G36" s="920"/>
      <c r="H36" s="920"/>
      <c r="I36" s="920"/>
      <c r="J36" s="920"/>
      <c r="K36" s="920"/>
      <c r="L36" s="920"/>
      <c r="M36" s="921"/>
      <c r="P36" s="158"/>
      <c r="Q36" s="253"/>
    </row>
    <row r="37" spans="1:17" s="150" customFormat="1" ht="20.100000000000001" customHeight="1">
      <c r="P37" s="158"/>
    </row>
    <row r="38" spans="1:17" s="150" customFormat="1" ht="24.95" customHeight="1">
      <c r="A38" s="928" t="s">
        <v>650</v>
      </c>
      <c r="B38" s="929"/>
      <c r="C38" s="932" t="s">
        <v>776</v>
      </c>
      <c r="D38" s="932"/>
      <c r="E38" s="932"/>
      <c r="F38" s="932"/>
      <c r="G38" s="932"/>
      <c r="H38" s="932"/>
      <c r="I38" s="932"/>
      <c r="J38" s="932"/>
      <c r="K38" s="932"/>
      <c r="L38" s="932"/>
      <c r="M38" s="933"/>
      <c r="P38" s="158"/>
    </row>
    <row r="39" spans="1:17" s="150" customFormat="1" ht="20.100000000000001" customHeight="1">
      <c r="A39" s="598" t="s">
        <v>338</v>
      </c>
      <c r="B39" s="599"/>
      <c r="C39" s="585" t="s">
        <v>648</v>
      </c>
      <c r="D39" s="873" t="s">
        <v>707</v>
      </c>
      <c r="E39" s="874"/>
      <c r="F39" s="874"/>
      <c r="G39" s="874"/>
      <c r="H39" s="874"/>
      <c r="I39" s="874"/>
      <c r="J39" s="874"/>
      <c r="K39" s="874"/>
      <c r="L39" s="874"/>
      <c r="M39" s="875"/>
      <c r="P39" s="158"/>
    </row>
    <row r="40" spans="1:17" s="150" customFormat="1" ht="20.100000000000001" customHeight="1">
      <c r="A40" s="600" t="s">
        <v>340</v>
      </c>
      <c r="B40" s="601"/>
      <c r="C40" s="876" t="s">
        <v>771</v>
      </c>
      <c r="D40" s="876"/>
      <c r="E40" s="876"/>
      <c r="F40" s="876"/>
      <c r="G40" s="876"/>
      <c r="H40" s="876"/>
      <c r="I40" s="876"/>
      <c r="J40" s="876"/>
      <c r="K40" s="876"/>
      <c r="L40" s="876"/>
      <c r="M40" s="877"/>
      <c r="P40" s="158"/>
    </row>
    <row r="41" spans="1:17" s="150" customFormat="1" ht="9.9499999999999993" customHeight="1">
      <c r="P41" s="158"/>
    </row>
    <row r="42" spans="1:17" s="150" customFormat="1" ht="20.100000000000001" customHeight="1">
      <c r="A42" s="161" t="s">
        <v>327</v>
      </c>
      <c r="B42" s="162">
        <v>1</v>
      </c>
      <c r="C42" s="162">
        <v>2</v>
      </c>
      <c r="D42" s="162">
        <v>3</v>
      </c>
      <c r="E42" s="162">
        <v>4</v>
      </c>
      <c r="F42" s="162">
        <v>5</v>
      </c>
      <c r="G42" s="162">
        <v>6</v>
      </c>
      <c r="H42" s="162">
        <v>7</v>
      </c>
      <c r="I42" s="162">
        <v>8</v>
      </c>
      <c r="J42" s="162">
        <v>9</v>
      </c>
      <c r="K42" s="162">
        <v>10</v>
      </c>
      <c r="L42" s="162">
        <v>11</v>
      </c>
      <c r="M42" s="162">
        <v>12</v>
      </c>
    </row>
    <row r="43" spans="1:17" s="150" customFormat="1" ht="20.100000000000001" customHeight="1">
      <c r="A43" s="161" t="s">
        <v>328</v>
      </c>
      <c r="B43" s="604"/>
      <c r="C43" s="604"/>
      <c r="D43" s="604"/>
      <c r="E43" s="604"/>
      <c r="F43" s="604"/>
      <c r="G43" s="604"/>
      <c r="H43" s="604"/>
      <c r="I43" s="604"/>
      <c r="J43" s="604"/>
      <c r="K43" s="604"/>
      <c r="L43" s="604"/>
      <c r="M43" s="604"/>
    </row>
    <row r="44" spans="1:17" s="150" customFormat="1" ht="20.100000000000001" customHeight="1">
      <c r="A44" s="161" t="s">
        <v>329</v>
      </c>
      <c r="B44" s="243">
        <f>$D$26/12</f>
        <v>49257.619706207428</v>
      </c>
      <c r="C44" s="243">
        <f t="shared" ref="C44:M44" si="2">$D$26/12</f>
        <v>49257.619706207428</v>
      </c>
      <c r="D44" s="243">
        <f t="shared" si="2"/>
        <v>49257.619706207428</v>
      </c>
      <c r="E44" s="243">
        <f t="shared" si="2"/>
        <v>49257.619706207428</v>
      </c>
      <c r="F44" s="243">
        <f t="shared" si="2"/>
        <v>49257.619706207428</v>
      </c>
      <c r="G44" s="243">
        <f t="shared" si="2"/>
        <v>49257.619706207428</v>
      </c>
      <c r="H44" s="243">
        <f t="shared" si="2"/>
        <v>49257.619706207428</v>
      </c>
      <c r="I44" s="243">
        <f t="shared" si="2"/>
        <v>49257.619706207428</v>
      </c>
      <c r="J44" s="243">
        <f t="shared" si="2"/>
        <v>49257.619706207428</v>
      </c>
      <c r="K44" s="243">
        <f t="shared" si="2"/>
        <v>49257.619706207428</v>
      </c>
      <c r="L44" s="243">
        <f t="shared" si="2"/>
        <v>49257.619706207428</v>
      </c>
      <c r="M44" s="243">
        <f t="shared" si="2"/>
        <v>49257.619706207428</v>
      </c>
      <c r="O44" s="563"/>
    </row>
    <row r="45" spans="1:17" s="150" customFormat="1" ht="20.100000000000001" customHeight="1">
      <c r="O45" s="563"/>
    </row>
    <row r="46" spans="1:17" s="150" customFormat="1" ht="20.100000000000001" customHeight="1">
      <c r="A46" s="161" t="s">
        <v>327</v>
      </c>
      <c r="B46" s="162">
        <v>13</v>
      </c>
      <c r="C46" s="162">
        <v>14</v>
      </c>
      <c r="D46" s="162">
        <v>15</v>
      </c>
      <c r="E46" s="162">
        <v>16</v>
      </c>
      <c r="F46" s="162">
        <v>17</v>
      </c>
      <c r="G46" s="162">
        <v>18</v>
      </c>
      <c r="H46" s="162">
        <v>19</v>
      </c>
      <c r="I46" s="162">
        <v>20</v>
      </c>
      <c r="J46" s="162">
        <v>21</v>
      </c>
      <c r="K46" s="162">
        <v>22</v>
      </c>
      <c r="L46" s="162">
        <v>23</v>
      </c>
      <c r="M46" s="162">
        <v>24</v>
      </c>
      <c r="O46" s="563"/>
    </row>
    <row r="47" spans="1:17" s="150" customFormat="1" ht="20.100000000000001" customHeight="1">
      <c r="A47" s="161" t="s">
        <v>328</v>
      </c>
      <c r="B47" s="164"/>
      <c r="C47" s="164"/>
      <c r="D47" s="164"/>
      <c r="E47" s="164"/>
      <c r="F47" s="164"/>
      <c r="G47" s="164"/>
      <c r="H47" s="164"/>
      <c r="I47" s="164"/>
      <c r="J47" s="164"/>
      <c r="K47" s="164"/>
      <c r="L47" s="164"/>
      <c r="M47" s="164"/>
      <c r="O47" s="563"/>
    </row>
    <row r="48" spans="1:17" s="150" customFormat="1" ht="20.100000000000001" customHeight="1">
      <c r="A48" s="161" t="s">
        <v>329</v>
      </c>
      <c r="B48" s="243">
        <f>$F$26/12</f>
        <v>102455.84898891147</v>
      </c>
      <c r="C48" s="243">
        <f t="shared" ref="C48:M48" si="3">$F$26/12</f>
        <v>102455.84898891147</v>
      </c>
      <c r="D48" s="243">
        <f t="shared" si="3"/>
        <v>102455.84898891147</v>
      </c>
      <c r="E48" s="243">
        <f t="shared" si="3"/>
        <v>102455.84898891147</v>
      </c>
      <c r="F48" s="243">
        <f t="shared" si="3"/>
        <v>102455.84898891147</v>
      </c>
      <c r="G48" s="243">
        <f t="shared" si="3"/>
        <v>102455.84898891147</v>
      </c>
      <c r="H48" s="243">
        <f t="shared" si="3"/>
        <v>102455.84898891147</v>
      </c>
      <c r="I48" s="243">
        <f t="shared" si="3"/>
        <v>102455.84898891147</v>
      </c>
      <c r="J48" s="243">
        <f t="shared" si="3"/>
        <v>102455.84898891147</v>
      </c>
      <c r="K48" s="243">
        <f t="shared" si="3"/>
        <v>102455.84898891147</v>
      </c>
      <c r="L48" s="243">
        <f t="shared" si="3"/>
        <v>102455.84898891147</v>
      </c>
      <c r="M48" s="243">
        <f t="shared" si="3"/>
        <v>102455.84898891147</v>
      </c>
      <c r="O48" s="563"/>
    </row>
    <row r="49" spans="1:15" s="150" customFormat="1" ht="20.100000000000001" customHeight="1">
      <c r="O49" s="563"/>
    </row>
    <row r="50" spans="1:15" s="150" customFormat="1" ht="20.100000000000001" customHeight="1">
      <c r="A50" s="161" t="s">
        <v>327</v>
      </c>
      <c r="B50" s="162">
        <v>25</v>
      </c>
      <c r="C50" s="162">
        <v>26</v>
      </c>
      <c r="D50" s="162">
        <v>27</v>
      </c>
      <c r="E50" s="162">
        <v>28</v>
      </c>
      <c r="F50" s="162">
        <v>29</v>
      </c>
      <c r="G50" s="162">
        <v>30</v>
      </c>
      <c r="H50" s="162">
        <v>31</v>
      </c>
      <c r="I50" s="162">
        <v>32</v>
      </c>
      <c r="J50" s="162">
        <v>33</v>
      </c>
      <c r="K50" s="162">
        <v>34</v>
      </c>
      <c r="L50" s="162">
        <v>35</v>
      </c>
      <c r="M50" s="162">
        <v>36</v>
      </c>
      <c r="O50" s="563"/>
    </row>
    <row r="51" spans="1:15" s="150" customFormat="1" ht="20.100000000000001" customHeight="1">
      <c r="A51" s="161" t="s">
        <v>328</v>
      </c>
      <c r="B51" s="164"/>
      <c r="C51" s="164"/>
      <c r="D51" s="164"/>
      <c r="E51" s="164"/>
      <c r="F51" s="164"/>
      <c r="G51" s="164"/>
      <c r="H51" s="164"/>
      <c r="I51" s="164"/>
      <c r="J51" s="164"/>
      <c r="K51" s="164"/>
      <c r="L51" s="164"/>
      <c r="M51" s="164"/>
      <c r="O51" s="563"/>
    </row>
    <row r="52" spans="1:15" s="150" customFormat="1" ht="20.100000000000001" customHeight="1">
      <c r="A52" s="161" t="s">
        <v>329</v>
      </c>
      <c r="B52" s="243">
        <f>$H$26/12</f>
        <v>106554.08294846793</v>
      </c>
      <c r="C52" s="243">
        <f t="shared" ref="C52:M52" si="4">$H$26/12</f>
        <v>106554.08294846793</v>
      </c>
      <c r="D52" s="243">
        <f t="shared" si="4"/>
        <v>106554.08294846793</v>
      </c>
      <c r="E52" s="243">
        <f t="shared" si="4"/>
        <v>106554.08294846793</v>
      </c>
      <c r="F52" s="243">
        <f t="shared" si="4"/>
        <v>106554.08294846793</v>
      </c>
      <c r="G52" s="243">
        <f t="shared" si="4"/>
        <v>106554.08294846793</v>
      </c>
      <c r="H52" s="243">
        <f t="shared" si="4"/>
        <v>106554.08294846793</v>
      </c>
      <c r="I52" s="243">
        <f t="shared" si="4"/>
        <v>106554.08294846793</v>
      </c>
      <c r="J52" s="243">
        <f t="shared" si="4"/>
        <v>106554.08294846793</v>
      </c>
      <c r="K52" s="243">
        <f t="shared" si="4"/>
        <v>106554.08294846793</v>
      </c>
      <c r="L52" s="243">
        <f t="shared" si="4"/>
        <v>106554.08294846793</v>
      </c>
      <c r="M52" s="243">
        <f t="shared" si="4"/>
        <v>106554.08294846793</v>
      </c>
      <c r="O52" s="563"/>
    </row>
    <row r="53" spans="1:15" s="150" customFormat="1" ht="20.100000000000001" customHeight="1">
      <c r="O53" s="563"/>
    </row>
    <row r="54" spans="1:15" s="150" customFormat="1" ht="20.100000000000001" customHeight="1">
      <c r="A54" s="161" t="s">
        <v>327</v>
      </c>
      <c r="B54" s="162">
        <v>37</v>
      </c>
      <c r="C54" s="162">
        <v>38</v>
      </c>
      <c r="D54" s="162">
        <v>39</v>
      </c>
      <c r="E54" s="162">
        <v>40</v>
      </c>
      <c r="F54" s="162">
        <v>41</v>
      </c>
      <c r="G54" s="162">
        <v>42</v>
      </c>
      <c r="H54" s="162">
        <v>43</v>
      </c>
      <c r="I54" s="162">
        <v>44</v>
      </c>
      <c r="J54" s="162">
        <v>45</v>
      </c>
      <c r="K54" s="162">
        <v>46</v>
      </c>
      <c r="L54" s="162">
        <v>47</v>
      </c>
      <c r="M54" s="162">
        <v>48</v>
      </c>
      <c r="O54" s="563"/>
    </row>
    <row r="55" spans="1:15" s="150" customFormat="1" ht="20.100000000000001" customHeight="1">
      <c r="A55" s="161" t="s">
        <v>328</v>
      </c>
      <c r="B55" s="164"/>
      <c r="C55" s="164"/>
      <c r="D55" s="164"/>
      <c r="E55" s="164"/>
      <c r="F55" s="164"/>
      <c r="G55" s="164"/>
      <c r="H55" s="164"/>
      <c r="I55" s="164"/>
      <c r="J55" s="164"/>
      <c r="K55" s="164"/>
      <c r="L55" s="164"/>
      <c r="M55" s="164"/>
      <c r="O55" s="563"/>
    </row>
    <row r="56" spans="1:15" s="150" customFormat="1" ht="20.100000000000001" customHeight="1">
      <c r="A56" s="161" t="s">
        <v>329</v>
      </c>
      <c r="B56" s="243">
        <f>$J$26/12</f>
        <v>110816.24626640666</v>
      </c>
      <c r="C56" s="243">
        <f t="shared" ref="C56:M56" si="5">$J$26/12</f>
        <v>110816.24626640666</v>
      </c>
      <c r="D56" s="243">
        <f t="shared" si="5"/>
        <v>110816.24626640666</v>
      </c>
      <c r="E56" s="243">
        <f t="shared" si="5"/>
        <v>110816.24626640666</v>
      </c>
      <c r="F56" s="243">
        <f t="shared" si="5"/>
        <v>110816.24626640666</v>
      </c>
      <c r="G56" s="243">
        <f t="shared" si="5"/>
        <v>110816.24626640666</v>
      </c>
      <c r="H56" s="243">
        <f t="shared" si="5"/>
        <v>110816.24626640666</v>
      </c>
      <c r="I56" s="243">
        <f t="shared" si="5"/>
        <v>110816.24626640666</v>
      </c>
      <c r="J56" s="243">
        <f t="shared" si="5"/>
        <v>110816.24626640666</v>
      </c>
      <c r="K56" s="243">
        <f t="shared" si="5"/>
        <v>110816.24626640666</v>
      </c>
      <c r="L56" s="243">
        <f t="shared" si="5"/>
        <v>110816.24626640666</v>
      </c>
      <c r="M56" s="243">
        <f t="shared" si="5"/>
        <v>110816.24626640666</v>
      </c>
      <c r="O56" s="563"/>
    </row>
    <row r="57" spans="1:15" s="150" customFormat="1" ht="20.100000000000001" customHeight="1">
      <c r="B57" s="563"/>
      <c r="O57" s="563"/>
    </row>
    <row r="58" spans="1:15" s="150" customFormat="1" ht="20.100000000000001" customHeight="1">
      <c r="A58" s="161" t="s">
        <v>327</v>
      </c>
      <c r="B58" s="162">
        <v>49</v>
      </c>
      <c r="C58" s="162">
        <v>50</v>
      </c>
      <c r="D58" s="162">
        <v>51</v>
      </c>
      <c r="E58" s="162">
        <v>52</v>
      </c>
      <c r="F58" s="162">
        <v>53</v>
      </c>
      <c r="G58" s="162">
        <v>54</v>
      </c>
      <c r="H58" s="162">
        <v>55</v>
      </c>
      <c r="I58" s="162">
        <v>56</v>
      </c>
      <c r="J58" s="162">
        <v>57</v>
      </c>
      <c r="K58" s="162">
        <v>58</v>
      </c>
      <c r="L58" s="162">
        <v>59</v>
      </c>
      <c r="M58" s="162">
        <v>60</v>
      </c>
      <c r="O58" s="563"/>
    </row>
    <row r="59" spans="1:15" s="150" customFormat="1" ht="20.100000000000001" customHeight="1">
      <c r="A59" s="161" t="s">
        <v>328</v>
      </c>
      <c r="B59" s="164"/>
      <c r="C59" s="164"/>
      <c r="D59" s="164"/>
      <c r="E59" s="164"/>
      <c r="F59" s="164"/>
      <c r="G59" s="164"/>
      <c r="H59" s="164"/>
      <c r="I59" s="164"/>
      <c r="J59" s="164"/>
      <c r="K59" s="164"/>
      <c r="L59" s="164"/>
      <c r="M59" s="164"/>
      <c r="O59" s="563"/>
    </row>
    <row r="60" spans="1:15" s="150" customFormat="1" ht="20.100000000000001" customHeight="1">
      <c r="A60" s="161" t="s">
        <v>329</v>
      </c>
      <c r="B60" s="243">
        <f>$L$26/12</f>
        <v>115248.89611706293</v>
      </c>
      <c r="C60" s="243">
        <f t="shared" ref="C60:M60" si="6">$L$26/12</f>
        <v>115248.89611706293</v>
      </c>
      <c r="D60" s="243">
        <f t="shared" si="6"/>
        <v>115248.89611706293</v>
      </c>
      <c r="E60" s="243">
        <f t="shared" si="6"/>
        <v>115248.89611706293</v>
      </c>
      <c r="F60" s="243">
        <f t="shared" si="6"/>
        <v>115248.89611706293</v>
      </c>
      <c r="G60" s="243">
        <f t="shared" si="6"/>
        <v>115248.89611706293</v>
      </c>
      <c r="H60" s="243">
        <f t="shared" si="6"/>
        <v>115248.89611706293</v>
      </c>
      <c r="I60" s="243">
        <f t="shared" si="6"/>
        <v>115248.89611706293</v>
      </c>
      <c r="J60" s="243">
        <f t="shared" si="6"/>
        <v>115248.89611706293</v>
      </c>
      <c r="K60" s="243">
        <f t="shared" si="6"/>
        <v>115248.89611706293</v>
      </c>
      <c r="L60" s="243">
        <f t="shared" si="6"/>
        <v>115248.89611706293</v>
      </c>
      <c r="M60" s="243">
        <f t="shared" si="6"/>
        <v>115248.89611706293</v>
      </c>
      <c r="O60" s="563"/>
    </row>
    <row r="61" spans="1:15" s="150" customFormat="1" ht="20.100000000000001" customHeight="1">
      <c r="O61" s="563"/>
    </row>
    <row r="62" spans="1:15" s="150" customFormat="1" ht="20.100000000000001" customHeight="1"/>
  </sheetData>
  <mergeCells count="66">
    <mergeCell ref="C40:M40"/>
    <mergeCell ref="A29:M29"/>
    <mergeCell ref="D31:M31"/>
    <mergeCell ref="D32:M32"/>
    <mergeCell ref="D33:M33"/>
    <mergeCell ref="D34:M34"/>
    <mergeCell ref="A35:B35"/>
    <mergeCell ref="A36:B36"/>
    <mergeCell ref="C36:M36"/>
    <mergeCell ref="A38:B38"/>
    <mergeCell ref="C38:M38"/>
    <mergeCell ref="D39:M39"/>
    <mergeCell ref="L26:M26"/>
    <mergeCell ref="B25:C25"/>
    <mergeCell ref="D25:E25"/>
    <mergeCell ref="F25:G25"/>
    <mergeCell ref="H25:I25"/>
    <mergeCell ref="J25:K25"/>
    <mergeCell ref="L25:M25"/>
    <mergeCell ref="B26:C26"/>
    <mergeCell ref="D26:E26"/>
    <mergeCell ref="F26:G26"/>
    <mergeCell ref="H26:I26"/>
    <mergeCell ref="J26:K26"/>
    <mergeCell ref="L23:M23"/>
    <mergeCell ref="A19:C19"/>
    <mergeCell ref="D19:M19"/>
    <mergeCell ref="A20:C20"/>
    <mergeCell ref="D20:M20"/>
    <mergeCell ref="B22:C22"/>
    <mergeCell ref="D22:E22"/>
    <mergeCell ref="F22:G22"/>
    <mergeCell ref="H22:I22"/>
    <mergeCell ref="J22:K22"/>
    <mergeCell ref="L22:M22"/>
    <mergeCell ref="B23:C23"/>
    <mergeCell ref="D23:E23"/>
    <mergeCell ref="F23:G23"/>
    <mergeCell ref="H23:I23"/>
    <mergeCell ref="J23:K23"/>
    <mergeCell ref="A16:C16"/>
    <mergeCell ref="D16:M16"/>
    <mergeCell ref="A17:C17"/>
    <mergeCell ref="D17:M17"/>
    <mergeCell ref="A18:C18"/>
    <mergeCell ref="D18:M18"/>
    <mergeCell ref="A13:C13"/>
    <mergeCell ref="D13:M13"/>
    <mergeCell ref="A14:C14"/>
    <mergeCell ref="D14:M14"/>
    <mergeCell ref="A15:C15"/>
    <mergeCell ref="D15:M15"/>
    <mergeCell ref="A12:C12"/>
    <mergeCell ref="D12:M12"/>
    <mergeCell ref="A1:M1"/>
    <mergeCell ref="D3:M3"/>
    <mergeCell ref="A4:C4"/>
    <mergeCell ref="D4:M4"/>
    <mergeCell ref="D6:M6"/>
    <mergeCell ref="A7:C7"/>
    <mergeCell ref="D7:M7"/>
    <mergeCell ref="A8:C8"/>
    <mergeCell ref="D8:M8"/>
    <mergeCell ref="A9:C9"/>
    <mergeCell ref="D9:M9"/>
    <mergeCell ref="D11:M11"/>
  </mergeCells>
  <printOptions horizontalCentered="1"/>
  <pageMargins left="0.51181102362204722" right="0.51181102362204722" top="0.78740157480314965" bottom="0.78740157480314965" header="0.31496062992125984" footer="0.31496062992125984"/>
  <pageSetup paperSize="9" scale="93" orientation="portrait" r:id="rId1"/>
  <headerFooter>
    <oddFooter>&amp;L&amp;F&amp;C&amp;A&amp;R&amp;P/&amp;N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Q65"/>
  <sheetViews>
    <sheetView topLeftCell="A21" workbookViewId="0">
      <selection activeCell="E40" sqref="E40"/>
    </sheetView>
  </sheetViews>
  <sheetFormatPr defaultRowHeight="15"/>
  <cols>
    <col min="1" max="1" width="10.125" style="130" customWidth="1"/>
    <col min="2" max="13" width="6.625" style="130" customWidth="1"/>
    <col min="14" max="17" width="9" style="130"/>
    <col min="18" max="18" width="43.25" style="130" customWidth="1"/>
    <col min="19" max="16384" width="9" style="130"/>
  </cols>
  <sheetData>
    <row r="1" spans="1:13" s="129" customFormat="1" ht="39.950000000000003" customHeight="1">
      <c r="A1" s="804" t="s">
        <v>729</v>
      </c>
      <c r="B1" s="804"/>
      <c r="C1" s="804"/>
      <c r="D1" s="804"/>
      <c r="E1" s="804"/>
      <c r="F1" s="804"/>
      <c r="G1" s="804"/>
      <c r="H1" s="804"/>
      <c r="I1" s="804"/>
      <c r="J1" s="804"/>
      <c r="K1" s="804"/>
      <c r="L1" s="804"/>
      <c r="M1" s="804"/>
    </row>
    <row r="3" spans="1:13" ht="20.100000000000001" customHeight="1">
      <c r="A3" s="567" t="s">
        <v>190</v>
      </c>
      <c r="B3" s="568"/>
      <c r="C3" s="569">
        <v>3</v>
      </c>
      <c r="D3" s="964" t="s">
        <v>576</v>
      </c>
      <c r="E3" s="965"/>
      <c r="F3" s="965"/>
      <c r="G3" s="965"/>
      <c r="H3" s="965"/>
      <c r="I3" s="965"/>
      <c r="J3" s="965"/>
      <c r="K3" s="965"/>
      <c r="L3" s="965"/>
      <c r="M3" s="966"/>
    </row>
    <row r="4" spans="1:13" ht="45" customHeight="1">
      <c r="A4" s="959" t="s">
        <v>294</v>
      </c>
      <c r="B4" s="959"/>
      <c r="C4" s="959"/>
      <c r="D4" s="960" t="s">
        <v>725</v>
      </c>
      <c r="E4" s="960"/>
      <c r="F4" s="960"/>
      <c r="G4" s="960"/>
      <c r="H4" s="960"/>
      <c r="I4" s="960"/>
      <c r="J4" s="960"/>
      <c r="K4" s="960"/>
      <c r="L4" s="960"/>
      <c r="M4" s="960"/>
    </row>
    <row r="6" spans="1:13" ht="20.100000000000001" customHeight="1">
      <c r="A6" s="567" t="s">
        <v>192</v>
      </c>
      <c r="B6" s="568"/>
      <c r="C6" s="569">
        <v>1</v>
      </c>
      <c r="D6" s="964" t="s">
        <v>726</v>
      </c>
      <c r="E6" s="965"/>
      <c r="F6" s="965"/>
      <c r="G6" s="965"/>
      <c r="H6" s="965"/>
      <c r="I6" s="965"/>
      <c r="J6" s="965"/>
      <c r="K6" s="965"/>
      <c r="L6" s="965"/>
      <c r="M6" s="965"/>
    </row>
    <row r="7" spans="1:13" ht="45" customHeight="1">
      <c r="A7" s="959" t="s">
        <v>291</v>
      </c>
      <c r="B7" s="959"/>
      <c r="C7" s="959"/>
      <c r="D7" s="960" t="s">
        <v>725</v>
      </c>
      <c r="E7" s="960"/>
      <c r="F7" s="960"/>
      <c r="G7" s="960"/>
      <c r="H7" s="960"/>
      <c r="I7" s="960"/>
      <c r="J7" s="960"/>
      <c r="K7" s="960"/>
      <c r="L7" s="960"/>
      <c r="M7" s="960"/>
    </row>
    <row r="8" spans="1:13" ht="64.5" customHeight="1">
      <c r="A8" s="959" t="s">
        <v>293</v>
      </c>
      <c r="B8" s="959"/>
      <c r="C8" s="959"/>
      <c r="D8" s="960" t="s">
        <v>727</v>
      </c>
      <c r="E8" s="960"/>
      <c r="F8" s="960"/>
      <c r="G8" s="960"/>
      <c r="H8" s="960"/>
      <c r="I8" s="960"/>
      <c r="J8" s="960"/>
      <c r="K8" s="960"/>
      <c r="L8" s="960"/>
      <c r="M8" s="960"/>
    </row>
    <row r="9" spans="1:13" ht="30" customHeight="1">
      <c r="A9" s="959" t="s">
        <v>292</v>
      </c>
      <c r="B9" s="959"/>
      <c r="C9" s="959"/>
      <c r="D9" s="960" t="s">
        <v>728</v>
      </c>
      <c r="E9" s="960"/>
      <c r="F9" s="960"/>
      <c r="G9" s="960"/>
      <c r="H9" s="960"/>
      <c r="I9" s="960"/>
      <c r="J9" s="960"/>
      <c r="K9" s="960"/>
      <c r="L9" s="960"/>
      <c r="M9" s="960"/>
    </row>
    <row r="11" spans="1:13" ht="30" customHeight="1">
      <c r="A11" s="567" t="s">
        <v>193</v>
      </c>
      <c r="B11" s="568"/>
      <c r="C11" s="569">
        <v>1</v>
      </c>
      <c r="D11" s="967" t="s">
        <v>578</v>
      </c>
      <c r="E11" s="968"/>
      <c r="F11" s="968"/>
      <c r="G11" s="968"/>
      <c r="H11" s="968"/>
      <c r="I11" s="968"/>
      <c r="J11" s="968"/>
      <c r="K11" s="968"/>
      <c r="L11" s="968"/>
      <c r="M11" s="968"/>
    </row>
    <row r="12" spans="1:13" s="150" customFormat="1" ht="20.100000000000001" customHeight="1">
      <c r="A12" s="961" t="s">
        <v>308</v>
      </c>
      <c r="B12" s="962"/>
      <c r="C12" s="963"/>
      <c r="D12" s="960" t="s">
        <v>111</v>
      </c>
      <c r="E12" s="960"/>
      <c r="F12" s="960"/>
      <c r="G12" s="960"/>
      <c r="H12" s="960"/>
      <c r="I12" s="960"/>
      <c r="J12" s="960"/>
      <c r="K12" s="960"/>
      <c r="L12" s="960"/>
      <c r="M12" s="960"/>
    </row>
    <row r="13" spans="1:13" ht="48.75" customHeight="1">
      <c r="A13" s="959" t="s">
        <v>296</v>
      </c>
      <c r="B13" s="959"/>
      <c r="C13" s="959"/>
      <c r="D13" s="960" t="s">
        <v>731</v>
      </c>
      <c r="E13" s="960"/>
      <c r="F13" s="960"/>
      <c r="G13" s="960"/>
      <c r="H13" s="960"/>
      <c r="I13" s="960"/>
      <c r="J13" s="960"/>
      <c r="K13" s="960"/>
      <c r="L13" s="960"/>
      <c r="M13" s="960"/>
    </row>
    <row r="14" spans="1:13" ht="20.100000000000001" customHeight="1">
      <c r="A14" s="959" t="s">
        <v>311</v>
      </c>
      <c r="B14" s="959"/>
      <c r="C14" s="959"/>
      <c r="D14" s="960" t="s">
        <v>730</v>
      </c>
      <c r="E14" s="960"/>
      <c r="F14" s="960"/>
      <c r="G14" s="960"/>
      <c r="H14" s="960"/>
      <c r="I14" s="960"/>
      <c r="J14" s="960"/>
      <c r="K14" s="960"/>
      <c r="L14" s="960"/>
      <c r="M14" s="960"/>
    </row>
    <row r="15" spans="1:13" s="150" customFormat="1" ht="20.100000000000001" customHeight="1">
      <c r="A15" s="961" t="s">
        <v>305</v>
      </c>
      <c r="B15" s="962"/>
      <c r="C15" s="963"/>
      <c r="D15" s="960" t="s">
        <v>654</v>
      </c>
      <c r="E15" s="960"/>
      <c r="F15" s="960"/>
      <c r="G15" s="960"/>
      <c r="H15" s="960"/>
      <c r="I15" s="960"/>
      <c r="J15" s="960"/>
      <c r="K15" s="960"/>
      <c r="L15" s="960"/>
      <c r="M15" s="960"/>
    </row>
    <row r="16" spans="1:13" ht="45" customHeight="1">
      <c r="A16" s="959" t="s">
        <v>297</v>
      </c>
      <c r="B16" s="959"/>
      <c r="C16" s="959"/>
      <c r="D16" s="960" t="s">
        <v>721</v>
      </c>
      <c r="E16" s="960"/>
      <c r="F16" s="960"/>
      <c r="G16" s="960"/>
      <c r="H16" s="960"/>
      <c r="I16" s="960"/>
      <c r="J16" s="960"/>
      <c r="K16" s="960"/>
      <c r="L16" s="960"/>
      <c r="M16" s="960"/>
    </row>
    <row r="17" spans="1:13" ht="60" customHeight="1">
      <c r="A17" s="959" t="s">
        <v>299</v>
      </c>
      <c r="B17" s="959"/>
      <c r="C17" s="959"/>
      <c r="D17" s="960" t="s">
        <v>722</v>
      </c>
      <c r="E17" s="960"/>
      <c r="F17" s="960"/>
      <c r="G17" s="960"/>
      <c r="H17" s="960"/>
      <c r="I17" s="960"/>
      <c r="J17" s="960"/>
      <c r="K17" s="960"/>
      <c r="L17" s="960"/>
      <c r="M17" s="960"/>
    </row>
    <row r="18" spans="1:13" ht="30" customHeight="1">
      <c r="A18" s="959" t="s">
        <v>292</v>
      </c>
      <c r="B18" s="959"/>
      <c r="C18" s="959"/>
      <c r="D18" s="960" t="s">
        <v>723</v>
      </c>
      <c r="E18" s="960"/>
      <c r="F18" s="960"/>
      <c r="G18" s="960"/>
      <c r="H18" s="960"/>
      <c r="I18" s="960"/>
      <c r="J18" s="960"/>
      <c r="K18" s="960"/>
      <c r="L18" s="960"/>
      <c r="M18" s="960"/>
    </row>
    <row r="19" spans="1:13" ht="20.100000000000001" customHeight="1">
      <c r="A19" s="959" t="s">
        <v>302</v>
      </c>
      <c r="B19" s="959"/>
      <c r="C19" s="959"/>
      <c r="D19" s="960" t="s">
        <v>724</v>
      </c>
      <c r="E19" s="960"/>
      <c r="F19" s="960"/>
      <c r="G19" s="960"/>
      <c r="H19" s="960"/>
      <c r="I19" s="960"/>
      <c r="J19" s="960"/>
      <c r="K19" s="960"/>
      <c r="L19" s="960"/>
      <c r="M19" s="960"/>
    </row>
    <row r="20" spans="1:13" ht="20.100000000000001" customHeight="1">
      <c r="A20" s="959" t="s">
        <v>303</v>
      </c>
      <c r="B20" s="959"/>
      <c r="C20" s="959"/>
      <c r="D20" s="960" t="s">
        <v>224</v>
      </c>
      <c r="E20" s="960"/>
      <c r="F20" s="960"/>
      <c r="G20" s="960"/>
      <c r="H20" s="960"/>
      <c r="I20" s="960"/>
      <c r="J20" s="960"/>
      <c r="K20" s="960"/>
      <c r="L20" s="960"/>
      <c r="M20" s="960"/>
    </row>
    <row r="21" spans="1:13" ht="20.100000000000001" customHeight="1"/>
    <row r="22" spans="1:13" ht="20.100000000000001" customHeight="1">
      <c r="A22" s="582" t="s">
        <v>339</v>
      </c>
      <c r="B22" s="956" t="s">
        <v>313</v>
      </c>
      <c r="C22" s="957"/>
      <c r="D22" s="958">
        <v>2021</v>
      </c>
      <c r="E22" s="958"/>
      <c r="F22" s="958">
        <v>2022</v>
      </c>
      <c r="G22" s="958"/>
      <c r="H22" s="958">
        <v>2023</v>
      </c>
      <c r="I22" s="958"/>
      <c r="J22" s="958">
        <v>2024</v>
      </c>
      <c r="K22" s="958"/>
      <c r="L22" s="958">
        <v>2025</v>
      </c>
      <c r="M22" s="958"/>
    </row>
    <row r="23" spans="1:13" ht="20.100000000000001" customHeight="1">
      <c r="A23" s="134" t="str">
        <f>D12</f>
        <v>3.1.1</v>
      </c>
      <c r="B23" s="889">
        <f>SUM(D23:M23)</f>
        <v>5</v>
      </c>
      <c r="C23" s="890"/>
      <c r="D23" s="886">
        <v>1</v>
      </c>
      <c r="E23" s="887"/>
      <c r="F23" s="886">
        <v>1</v>
      </c>
      <c r="G23" s="887"/>
      <c r="H23" s="886">
        <v>1</v>
      </c>
      <c r="I23" s="887"/>
      <c r="J23" s="886">
        <v>1</v>
      </c>
      <c r="K23" s="887"/>
      <c r="L23" s="886">
        <v>1</v>
      </c>
      <c r="M23" s="887"/>
    </row>
    <row r="24" spans="1:13" ht="20.100000000000001" customHeight="1"/>
    <row r="25" spans="1:13" ht="20.100000000000001" customHeight="1">
      <c r="A25" s="582" t="s">
        <v>339</v>
      </c>
      <c r="B25" s="956" t="s">
        <v>173</v>
      </c>
      <c r="C25" s="957"/>
      <c r="D25" s="958">
        <v>2021</v>
      </c>
      <c r="E25" s="958"/>
      <c r="F25" s="958">
        <v>2022</v>
      </c>
      <c r="G25" s="958"/>
      <c r="H25" s="958">
        <v>2023</v>
      </c>
      <c r="I25" s="958"/>
      <c r="J25" s="958">
        <v>2024</v>
      </c>
      <c r="K25" s="958"/>
      <c r="L25" s="958">
        <v>2025</v>
      </c>
      <c r="M25" s="958"/>
    </row>
    <row r="26" spans="1:13" ht="20.100000000000001" customHeight="1">
      <c r="A26" s="134" t="str">
        <f>D12</f>
        <v>3.1.1</v>
      </c>
      <c r="B26" s="886">
        <f>SUM(D26:M26)</f>
        <v>2406952.0341224391</v>
      </c>
      <c r="C26" s="887"/>
      <c r="D26" s="886">
        <f>'Apoio Secretaria Executiva'!G23/2</f>
        <v>244791.91557789478</v>
      </c>
      <c r="E26" s="887"/>
      <c r="F26" s="886">
        <f>'Apoio Secretaria Executiva'!G23*(1+A28)</f>
        <v>509167.18440202117</v>
      </c>
      <c r="G26" s="887"/>
      <c r="H26" s="886">
        <f>F26*(1+A28)</f>
        <v>529533.87177810201</v>
      </c>
      <c r="I26" s="887"/>
      <c r="J26" s="886">
        <f>H26*(1+A28)</f>
        <v>550715.22664922616</v>
      </c>
      <c r="K26" s="887"/>
      <c r="L26" s="886">
        <f>J26*(1+A28)</f>
        <v>572743.83571519516</v>
      </c>
      <c r="M26" s="887"/>
    </row>
    <row r="28" spans="1:13" ht="15" customHeight="1">
      <c r="A28" s="558">
        <v>0.04</v>
      </c>
      <c r="B28" s="532" t="s">
        <v>704</v>
      </c>
      <c r="C28" s="532"/>
      <c r="D28" s="532"/>
      <c r="E28" s="532"/>
      <c r="F28" s="532"/>
      <c r="G28" s="532"/>
      <c r="H28" s="532"/>
      <c r="I28" s="532"/>
      <c r="J28" s="532"/>
      <c r="K28" s="532"/>
      <c r="L28" s="532"/>
      <c r="M28" s="532"/>
    </row>
    <row r="31" spans="1:13" s="129" customFormat="1" ht="39.950000000000003" customHeight="1">
      <c r="A31" s="804" t="s">
        <v>341</v>
      </c>
      <c r="B31" s="804"/>
      <c r="C31" s="804"/>
      <c r="D31" s="804"/>
      <c r="E31" s="804"/>
      <c r="F31" s="804"/>
      <c r="G31" s="804"/>
      <c r="H31" s="804"/>
      <c r="I31" s="804"/>
      <c r="J31" s="804"/>
      <c r="K31" s="804"/>
      <c r="L31" s="804"/>
      <c r="M31" s="804"/>
    </row>
    <row r="33" spans="1:17" ht="30" customHeight="1">
      <c r="A33" s="570" t="str">
        <f>A3</f>
        <v>FINALIDADE</v>
      </c>
      <c r="B33" s="571"/>
      <c r="C33" s="583">
        <f>C3</f>
        <v>3</v>
      </c>
      <c r="D33" s="949" t="str">
        <f>D3</f>
        <v>APOIO AO COMITÊ DE BACIA HIDROGRÁFICA</v>
      </c>
      <c r="E33" s="949"/>
      <c r="F33" s="949"/>
      <c r="G33" s="949"/>
      <c r="H33" s="949"/>
      <c r="I33" s="949"/>
      <c r="J33" s="949"/>
      <c r="K33" s="949"/>
      <c r="L33" s="949"/>
      <c r="M33" s="949"/>
    </row>
    <row r="34" spans="1:17" ht="30" customHeight="1">
      <c r="A34" s="572" t="str">
        <f>A6</f>
        <v>PROGRAMA</v>
      </c>
      <c r="B34" s="573"/>
      <c r="C34" s="167">
        <f>C6</f>
        <v>1</v>
      </c>
      <c r="D34" s="885" t="str">
        <f>D6</f>
        <v>Suporte ao funcionamento do comitê de bacia hidrográfica</v>
      </c>
      <c r="E34" s="885"/>
      <c r="F34" s="885"/>
      <c r="G34" s="885"/>
      <c r="H34" s="885"/>
      <c r="I34" s="885"/>
      <c r="J34" s="885"/>
      <c r="K34" s="885"/>
      <c r="L34" s="885"/>
      <c r="M34" s="885"/>
    </row>
    <row r="35" spans="1:17" ht="30" customHeight="1">
      <c r="A35" s="574" t="str">
        <f>A11</f>
        <v>AÇÃO</v>
      </c>
      <c r="B35" s="575"/>
      <c r="C35" s="167">
        <f>C11</f>
        <v>1</v>
      </c>
      <c r="D35" s="885" t="str">
        <f>D11</f>
        <v>Organização e realização de reuniões, eventos internos e externos do comitê de bacia hidrográfica</v>
      </c>
      <c r="E35" s="885"/>
      <c r="F35" s="885"/>
      <c r="G35" s="885"/>
      <c r="H35" s="885"/>
      <c r="I35" s="885"/>
      <c r="J35" s="885"/>
      <c r="K35" s="885"/>
      <c r="L35" s="885"/>
      <c r="M35" s="885"/>
    </row>
    <row r="36" spans="1:17" ht="30" customHeight="1">
      <c r="A36" s="576" t="s">
        <v>317</v>
      </c>
      <c r="B36" s="577"/>
      <c r="C36" s="167">
        <v>3</v>
      </c>
      <c r="D36" s="885" t="s">
        <v>503</v>
      </c>
      <c r="E36" s="885"/>
      <c r="F36" s="885"/>
      <c r="G36" s="885"/>
      <c r="H36" s="885"/>
      <c r="I36" s="885"/>
      <c r="J36" s="885"/>
      <c r="K36" s="885"/>
      <c r="L36" s="885"/>
      <c r="M36" s="885"/>
    </row>
    <row r="37" spans="1:17" s="150" customFormat="1" ht="30" customHeight="1">
      <c r="A37" s="950" t="s">
        <v>308</v>
      </c>
      <c r="B37" s="951"/>
      <c r="C37" s="560"/>
      <c r="D37" s="551">
        <f>C33</f>
        <v>3</v>
      </c>
      <c r="E37" s="551">
        <f>C34</f>
        <v>1</v>
      </c>
      <c r="F37" s="551">
        <f>C35</f>
        <v>1</v>
      </c>
      <c r="G37" s="551">
        <f>C36</f>
        <v>3</v>
      </c>
      <c r="H37" s="560"/>
      <c r="I37" s="560"/>
      <c r="J37" s="560"/>
      <c r="K37" s="560"/>
      <c r="L37" s="560"/>
      <c r="M37" s="561"/>
    </row>
    <row r="38" spans="1:17" s="150" customFormat="1" ht="65.25" customHeight="1">
      <c r="A38" s="952" t="s">
        <v>321</v>
      </c>
      <c r="B38" s="953"/>
      <c r="C38" s="919" t="s">
        <v>718</v>
      </c>
      <c r="D38" s="920"/>
      <c r="E38" s="920"/>
      <c r="F38" s="920"/>
      <c r="G38" s="920"/>
      <c r="H38" s="920"/>
      <c r="I38" s="920"/>
      <c r="J38" s="920"/>
      <c r="K38" s="920"/>
      <c r="L38" s="920"/>
      <c r="M38" s="921"/>
      <c r="P38" s="158"/>
      <c r="Q38" s="253"/>
    </row>
    <row r="39" spans="1:17" s="150" customFormat="1" ht="20.100000000000001" customHeight="1">
      <c r="P39" s="158"/>
    </row>
    <row r="40" spans="1:17" s="150" customFormat="1" ht="20.100000000000001" customHeight="1">
      <c r="P40" s="158"/>
    </row>
    <row r="41" spans="1:17" s="150" customFormat="1" ht="35.1" customHeight="1">
      <c r="A41" s="950" t="s">
        <v>650</v>
      </c>
      <c r="B41" s="951"/>
      <c r="C41" s="954" t="s">
        <v>719</v>
      </c>
      <c r="D41" s="954"/>
      <c r="E41" s="954"/>
      <c r="F41" s="954"/>
      <c r="G41" s="954"/>
      <c r="H41" s="954"/>
      <c r="I41" s="954"/>
      <c r="J41" s="954"/>
      <c r="K41" s="954"/>
      <c r="L41" s="954"/>
      <c r="M41" s="955"/>
      <c r="P41" s="158"/>
    </row>
    <row r="42" spans="1:17" s="150" customFormat="1" ht="20.100000000000001" customHeight="1">
      <c r="A42" s="578" t="s">
        <v>338</v>
      </c>
      <c r="B42" s="579"/>
      <c r="C42" s="551" t="s">
        <v>648</v>
      </c>
      <c r="D42" s="873" t="s">
        <v>707</v>
      </c>
      <c r="E42" s="874"/>
      <c r="F42" s="874"/>
      <c r="G42" s="874"/>
      <c r="H42" s="874"/>
      <c r="I42" s="874"/>
      <c r="J42" s="874"/>
      <c r="K42" s="874"/>
      <c r="L42" s="874"/>
      <c r="M42" s="875"/>
      <c r="P42" s="158"/>
    </row>
    <row r="43" spans="1:17" s="150" customFormat="1" ht="20.100000000000001" customHeight="1">
      <c r="A43" s="580" t="s">
        <v>340</v>
      </c>
      <c r="B43" s="581"/>
      <c r="C43" s="876" t="s">
        <v>651</v>
      </c>
      <c r="D43" s="876"/>
      <c r="E43" s="876"/>
      <c r="F43" s="876"/>
      <c r="G43" s="876"/>
      <c r="H43" s="876"/>
      <c r="I43" s="876"/>
      <c r="J43" s="876"/>
      <c r="K43" s="876"/>
      <c r="L43" s="876"/>
      <c r="M43" s="877"/>
      <c r="P43" s="158"/>
    </row>
    <row r="44" spans="1:17" s="150" customFormat="1" ht="9.9499999999999993" customHeight="1">
      <c r="P44" s="158"/>
    </row>
    <row r="45" spans="1:17" s="150" customFormat="1" ht="20.100000000000001" customHeight="1">
      <c r="A45" s="161" t="s">
        <v>327</v>
      </c>
      <c r="B45" s="162">
        <v>1</v>
      </c>
      <c r="C45" s="162">
        <v>2</v>
      </c>
      <c r="D45" s="162">
        <v>3</v>
      </c>
      <c r="E45" s="162">
        <v>4</v>
      </c>
      <c r="F45" s="162">
        <v>5</v>
      </c>
      <c r="G45" s="162">
        <v>6</v>
      </c>
      <c r="H45" s="162">
        <v>7</v>
      </c>
      <c r="I45" s="162">
        <v>8</v>
      </c>
      <c r="J45" s="162">
        <v>9</v>
      </c>
      <c r="K45" s="162">
        <v>10</v>
      </c>
      <c r="L45" s="162">
        <v>11</v>
      </c>
      <c r="M45" s="162">
        <v>12</v>
      </c>
    </row>
    <row r="46" spans="1:17" s="150" customFormat="1" ht="20.100000000000001" customHeight="1">
      <c r="A46" s="161" t="s">
        <v>328</v>
      </c>
      <c r="B46" s="566"/>
      <c r="C46" s="566"/>
      <c r="D46" s="566"/>
      <c r="E46" s="566"/>
      <c r="F46" s="566"/>
      <c r="G46" s="164"/>
      <c r="H46" s="164"/>
      <c r="I46" s="164"/>
      <c r="J46" s="164"/>
      <c r="K46" s="164"/>
      <c r="L46" s="164"/>
      <c r="M46" s="164"/>
    </row>
    <row r="47" spans="1:17" s="150" customFormat="1" ht="20.100000000000001" customHeight="1">
      <c r="A47" s="161" t="s">
        <v>329</v>
      </c>
      <c r="B47" s="243">
        <f>F19/12</f>
        <v>0</v>
      </c>
      <c r="C47" s="243">
        <v>0</v>
      </c>
      <c r="D47" s="243">
        <v>0</v>
      </c>
      <c r="E47" s="243">
        <v>0</v>
      </c>
      <c r="F47" s="243">
        <v>0</v>
      </c>
      <c r="G47" s="243">
        <v>0</v>
      </c>
      <c r="H47" s="243">
        <f t="shared" ref="H47:M47" si="0">$D$26/6</f>
        <v>40798.652596315798</v>
      </c>
      <c r="I47" s="243">
        <f t="shared" si="0"/>
        <v>40798.652596315798</v>
      </c>
      <c r="J47" s="243">
        <f t="shared" si="0"/>
        <v>40798.652596315798</v>
      </c>
      <c r="K47" s="243">
        <f t="shared" si="0"/>
        <v>40798.652596315798</v>
      </c>
      <c r="L47" s="243">
        <f t="shared" si="0"/>
        <v>40798.652596315798</v>
      </c>
      <c r="M47" s="243">
        <f t="shared" si="0"/>
        <v>40798.652596315798</v>
      </c>
      <c r="O47" s="563"/>
    </row>
    <row r="48" spans="1:17" s="150" customFormat="1" ht="20.100000000000001" customHeight="1">
      <c r="O48" s="563"/>
    </row>
    <row r="49" spans="1:15" s="150" customFormat="1" ht="20.100000000000001" customHeight="1">
      <c r="A49" s="161" t="s">
        <v>327</v>
      </c>
      <c r="B49" s="162">
        <v>13</v>
      </c>
      <c r="C49" s="162">
        <v>14</v>
      </c>
      <c r="D49" s="162">
        <v>15</v>
      </c>
      <c r="E49" s="162">
        <v>16</v>
      </c>
      <c r="F49" s="162">
        <v>17</v>
      </c>
      <c r="G49" s="162">
        <v>18</v>
      </c>
      <c r="H49" s="162">
        <v>19</v>
      </c>
      <c r="I49" s="162">
        <v>20</v>
      </c>
      <c r="J49" s="162">
        <v>21</v>
      </c>
      <c r="K49" s="162">
        <v>22</v>
      </c>
      <c r="L49" s="162">
        <v>23</v>
      </c>
      <c r="M49" s="162">
        <v>24</v>
      </c>
      <c r="O49" s="563"/>
    </row>
    <row r="50" spans="1:15" s="150" customFormat="1" ht="20.100000000000001" customHeight="1">
      <c r="A50" s="161" t="s">
        <v>328</v>
      </c>
      <c r="B50" s="164"/>
      <c r="C50" s="164"/>
      <c r="D50" s="164"/>
      <c r="E50" s="164"/>
      <c r="F50" s="164"/>
      <c r="G50" s="164"/>
      <c r="H50" s="164"/>
      <c r="I50" s="164"/>
      <c r="J50" s="164"/>
      <c r="K50" s="164"/>
      <c r="L50" s="164"/>
      <c r="M50" s="164"/>
      <c r="O50" s="563"/>
    </row>
    <row r="51" spans="1:15" s="150" customFormat="1" ht="20.100000000000001" customHeight="1">
      <c r="A51" s="161" t="s">
        <v>329</v>
      </c>
      <c r="B51" s="243">
        <f>$F$26/12</f>
        <v>42430.598700168433</v>
      </c>
      <c r="C51" s="243">
        <f t="shared" ref="C51:M51" si="1">$F$26/12</f>
        <v>42430.598700168433</v>
      </c>
      <c r="D51" s="243">
        <f t="shared" si="1"/>
        <v>42430.598700168433</v>
      </c>
      <c r="E51" s="243">
        <f t="shared" si="1"/>
        <v>42430.598700168433</v>
      </c>
      <c r="F51" s="243">
        <f t="shared" si="1"/>
        <v>42430.598700168433</v>
      </c>
      <c r="G51" s="243">
        <f t="shared" si="1"/>
        <v>42430.598700168433</v>
      </c>
      <c r="H51" s="243">
        <f t="shared" si="1"/>
        <v>42430.598700168433</v>
      </c>
      <c r="I51" s="243">
        <f t="shared" si="1"/>
        <v>42430.598700168433</v>
      </c>
      <c r="J51" s="243">
        <f t="shared" si="1"/>
        <v>42430.598700168433</v>
      </c>
      <c r="K51" s="243">
        <f t="shared" si="1"/>
        <v>42430.598700168433</v>
      </c>
      <c r="L51" s="243">
        <f t="shared" si="1"/>
        <v>42430.598700168433</v>
      </c>
      <c r="M51" s="243">
        <f t="shared" si="1"/>
        <v>42430.598700168433</v>
      </c>
      <c r="O51" s="563"/>
    </row>
    <row r="52" spans="1:15" s="150" customFormat="1" ht="20.100000000000001" customHeight="1">
      <c r="O52" s="563"/>
    </row>
    <row r="53" spans="1:15" s="150" customFormat="1" ht="20.100000000000001" customHeight="1">
      <c r="A53" s="161" t="s">
        <v>327</v>
      </c>
      <c r="B53" s="162">
        <v>25</v>
      </c>
      <c r="C53" s="162">
        <v>26</v>
      </c>
      <c r="D53" s="162">
        <v>27</v>
      </c>
      <c r="E53" s="162">
        <v>28</v>
      </c>
      <c r="F53" s="162">
        <v>29</v>
      </c>
      <c r="G53" s="162">
        <v>30</v>
      </c>
      <c r="H53" s="162">
        <v>31</v>
      </c>
      <c r="I53" s="162">
        <v>32</v>
      </c>
      <c r="J53" s="162">
        <v>33</v>
      </c>
      <c r="K53" s="162">
        <v>34</v>
      </c>
      <c r="L53" s="162">
        <v>35</v>
      </c>
      <c r="M53" s="162">
        <v>36</v>
      </c>
      <c r="O53" s="563"/>
    </row>
    <row r="54" spans="1:15" s="150" customFormat="1" ht="20.100000000000001" customHeight="1">
      <c r="A54" s="161" t="s">
        <v>328</v>
      </c>
      <c r="B54" s="164"/>
      <c r="C54" s="164"/>
      <c r="D54" s="164"/>
      <c r="E54" s="164"/>
      <c r="F54" s="164"/>
      <c r="G54" s="164"/>
      <c r="H54" s="164"/>
      <c r="I54" s="164"/>
      <c r="J54" s="164"/>
      <c r="K54" s="164"/>
      <c r="L54" s="164"/>
      <c r="M54" s="164"/>
      <c r="O54" s="563"/>
    </row>
    <row r="55" spans="1:15" s="150" customFormat="1" ht="20.100000000000001" customHeight="1">
      <c r="A55" s="161" t="s">
        <v>329</v>
      </c>
      <c r="B55" s="243">
        <f>$H$26/12</f>
        <v>44127.82264817517</v>
      </c>
      <c r="C55" s="243">
        <f t="shared" ref="C55:M55" si="2">$H$26/12</f>
        <v>44127.82264817517</v>
      </c>
      <c r="D55" s="243">
        <f t="shared" si="2"/>
        <v>44127.82264817517</v>
      </c>
      <c r="E55" s="243">
        <f t="shared" si="2"/>
        <v>44127.82264817517</v>
      </c>
      <c r="F55" s="243">
        <f t="shared" si="2"/>
        <v>44127.82264817517</v>
      </c>
      <c r="G55" s="243">
        <f t="shared" si="2"/>
        <v>44127.82264817517</v>
      </c>
      <c r="H55" s="243">
        <f t="shared" si="2"/>
        <v>44127.82264817517</v>
      </c>
      <c r="I55" s="243">
        <f t="shared" si="2"/>
        <v>44127.82264817517</v>
      </c>
      <c r="J55" s="243">
        <f t="shared" si="2"/>
        <v>44127.82264817517</v>
      </c>
      <c r="K55" s="243">
        <f t="shared" si="2"/>
        <v>44127.82264817517</v>
      </c>
      <c r="L55" s="243">
        <f t="shared" si="2"/>
        <v>44127.82264817517</v>
      </c>
      <c r="M55" s="243">
        <f t="shared" si="2"/>
        <v>44127.82264817517</v>
      </c>
      <c r="O55" s="563"/>
    </row>
    <row r="56" spans="1:15" s="150" customFormat="1" ht="20.100000000000001" customHeight="1">
      <c r="O56" s="563"/>
    </row>
    <row r="57" spans="1:15" s="150" customFormat="1" ht="20.100000000000001" customHeight="1">
      <c r="A57" s="161" t="s">
        <v>327</v>
      </c>
      <c r="B57" s="162">
        <v>37</v>
      </c>
      <c r="C57" s="162">
        <v>38</v>
      </c>
      <c r="D57" s="162">
        <v>39</v>
      </c>
      <c r="E57" s="162">
        <v>40</v>
      </c>
      <c r="F57" s="162">
        <v>41</v>
      </c>
      <c r="G57" s="162">
        <v>42</v>
      </c>
      <c r="H57" s="162">
        <v>43</v>
      </c>
      <c r="I57" s="162">
        <v>44</v>
      </c>
      <c r="J57" s="162">
        <v>45</v>
      </c>
      <c r="K57" s="162">
        <v>46</v>
      </c>
      <c r="L57" s="162">
        <v>47</v>
      </c>
      <c r="M57" s="162">
        <v>48</v>
      </c>
      <c r="O57" s="563"/>
    </row>
    <row r="58" spans="1:15" s="150" customFormat="1" ht="20.100000000000001" customHeight="1">
      <c r="A58" s="161" t="s">
        <v>328</v>
      </c>
      <c r="B58" s="164"/>
      <c r="C58" s="164"/>
      <c r="D58" s="164"/>
      <c r="E58" s="164"/>
      <c r="F58" s="164"/>
      <c r="G58" s="164"/>
      <c r="H58" s="164"/>
      <c r="I58" s="164"/>
      <c r="J58" s="164"/>
      <c r="K58" s="164"/>
      <c r="L58" s="164"/>
      <c r="M58" s="164"/>
      <c r="O58" s="563"/>
    </row>
    <row r="59" spans="1:15" s="150" customFormat="1" ht="20.100000000000001" customHeight="1">
      <c r="A59" s="161" t="s">
        <v>329</v>
      </c>
      <c r="B59" s="243">
        <f>$J$26/12</f>
        <v>45892.93555410218</v>
      </c>
      <c r="C59" s="243">
        <f t="shared" ref="C59:M59" si="3">$J$26/12</f>
        <v>45892.93555410218</v>
      </c>
      <c r="D59" s="243">
        <f t="shared" si="3"/>
        <v>45892.93555410218</v>
      </c>
      <c r="E59" s="243">
        <f t="shared" si="3"/>
        <v>45892.93555410218</v>
      </c>
      <c r="F59" s="243">
        <f t="shared" si="3"/>
        <v>45892.93555410218</v>
      </c>
      <c r="G59" s="243">
        <f t="shared" si="3"/>
        <v>45892.93555410218</v>
      </c>
      <c r="H59" s="243">
        <f t="shared" si="3"/>
        <v>45892.93555410218</v>
      </c>
      <c r="I59" s="243">
        <f t="shared" si="3"/>
        <v>45892.93555410218</v>
      </c>
      <c r="J59" s="243">
        <f t="shared" si="3"/>
        <v>45892.93555410218</v>
      </c>
      <c r="K59" s="243">
        <f t="shared" si="3"/>
        <v>45892.93555410218</v>
      </c>
      <c r="L59" s="243">
        <f t="shared" si="3"/>
        <v>45892.93555410218</v>
      </c>
      <c r="M59" s="243">
        <f t="shared" si="3"/>
        <v>45892.93555410218</v>
      </c>
      <c r="O59" s="563"/>
    </row>
    <row r="60" spans="1:15" s="150" customFormat="1" ht="20.100000000000001" customHeight="1">
      <c r="O60" s="563"/>
    </row>
    <row r="61" spans="1:15" s="150" customFormat="1" ht="20.100000000000001" customHeight="1">
      <c r="A61" s="161" t="s">
        <v>327</v>
      </c>
      <c r="B61" s="162">
        <v>49</v>
      </c>
      <c r="C61" s="162">
        <v>50</v>
      </c>
      <c r="D61" s="162">
        <v>51</v>
      </c>
      <c r="E61" s="162">
        <v>52</v>
      </c>
      <c r="F61" s="162">
        <v>53</v>
      </c>
      <c r="G61" s="162">
        <v>54</v>
      </c>
      <c r="H61" s="162">
        <v>55</v>
      </c>
      <c r="I61" s="162">
        <v>56</v>
      </c>
      <c r="J61" s="162">
        <v>57</v>
      </c>
      <c r="K61" s="162">
        <v>58</v>
      </c>
      <c r="L61" s="162">
        <v>59</v>
      </c>
      <c r="M61" s="162">
        <v>60</v>
      </c>
      <c r="O61" s="563"/>
    </row>
    <row r="62" spans="1:15" s="150" customFormat="1" ht="20.100000000000001" customHeight="1">
      <c r="A62" s="161" t="s">
        <v>328</v>
      </c>
      <c r="B62" s="164"/>
      <c r="C62" s="164"/>
      <c r="D62" s="164"/>
      <c r="E62" s="164"/>
      <c r="F62" s="164"/>
      <c r="G62" s="164"/>
      <c r="H62" s="164"/>
      <c r="I62" s="164"/>
      <c r="J62" s="164"/>
      <c r="K62" s="164"/>
      <c r="L62" s="164"/>
      <c r="M62" s="164"/>
      <c r="O62" s="563"/>
    </row>
    <row r="63" spans="1:15" s="150" customFormat="1" ht="20.100000000000001" customHeight="1">
      <c r="A63" s="161" t="s">
        <v>329</v>
      </c>
      <c r="B63" s="243">
        <f>$L$26/12</f>
        <v>47728.652976266261</v>
      </c>
      <c r="C63" s="243">
        <f t="shared" ref="C63:M63" si="4">$L$26/12</f>
        <v>47728.652976266261</v>
      </c>
      <c r="D63" s="243">
        <f t="shared" si="4"/>
        <v>47728.652976266261</v>
      </c>
      <c r="E63" s="243">
        <f t="shared" si="4"/>
        <v>47728.652976266261</v>
      </c>
      <c r="F63" s="243">
        <f t="shared" si="4"/>
        <v>47728.652976266261</v>
      </c>
      <c r="G63" s="243">
        <f t="shared" si="4"/>
        <v>47728.652976266261</v>
      </c>
      <c r="H63" s="243">
        <f t="shared" si="4"/>
        <v>47728.652976266261</v>
      </c>
      <c r="I63" s="243">
        <f t="shared" si="4"/>
        <v>47728.652976266261</v>
      </c>
      <c r="J63" s="243">
        <f t="shared" si="4"/>
        <v>47728.652976266261</v>
      </c>
      <c r="K63" s="243">
        <f t="shared" si="4"/>
        <v>47728.652976266261</v>
      </c>
      <c r="L63" s="243">
        <f t="shared" si="4"/>
        <v>47728.652976266261</v>
      </c>
      <c r="M63" s="243">
        <f t="shared" si="4"/>
        <v>47728.652976266261</v>
      </c>
      <c r="O63" s="563"/>
    </row>
    <row r="64" spans="1:15" s="150" customFormat="1" ht="20.100000000000001" customHeight="1">
      <c r="O64" s="563"/>
    </row>
    <row r="65" s="150" customFormat="1" ht="20.100000000000001" customHeight="1"/>
  </sheetData>
  <mergeCells count="66">
    <mergeCell ref="A12:C12"/>
    <mergeCell ref="D12:M12"/>
    <mergeCell ref="A1:M1"/>
    <mergeCell ref="D3:M3"/>
    <mergeCell ref="A4:C4"/>
    <mergeCell ref="D4:M4"/>
    <mergeCell ref="D6:M6"/>
    <mergeCell ref="A7:C7"/>
    <mergeCell ref="D7:M7"/>
    <mergeCell ref="A8:C8"/>
    <mergeCell ref="D8:M8"/>
    <mergeCell ref="A9:C9"/>
    <mergeCell ref="D9:M9"/>
    <mergeCell ref="D11:M11"/>
    <mergeCell ref="A13:C13"/>
    <mergeCell ref="D13:M13"/>
    <mergeCell ref="A14:C14"/>
    <mergeCell ref="D14:M14"/>
    <mergeCell ref="A15:C15"/>
    <mergeCell ref="D15:M15"/>
    <mergeCell ref="A16:C16"/>
    <mergeCell ref="D16:M16"/>
    <mergeCell ref="A17:C17"/>
    <mergeCell ref="D17:M17"/>
    <mergeCell ref="A18:C18"/>
    <mergeCell ref="D18:M18"/>
    <mergeCell ref="L23:M23"/>
    <mergeCell ref="A19:C19"/>
    <mergeCell ref="D19:M19"/>
    <mergeCell ref="A20:C20"/>
    <mergeCell ref="D20:M20"/>
    <mergeCell ref="B22:C22"/>
    <mergeCell ref="D22:E22"/>
    <mergeCell ref="F22:G22"/>
    <mergeCell ref="H22:I22"/>
    <mergeCell ref="J22:K22"/>
    <mergeCell ref="L22:M22"/>
    <mergeCell ref="B23:C23"/>
    <mergeCell ref="D23:E23"/>
    <mergeCell ref="F23:G23"/>
    <mergeCell ref="H23:I23"/>
    <mergeCell ref="J23:K23"/>
    <mergeCell ref="L26:M26"/>
    <mergeCell ref="B25:C25"/>
    <mergeCell ref="D25:E25"/>
    <mergeCell ref="F25:G25"/>
    <mergeCell ref="H25:I25"/>
    <mergeCell ref="J25:K25"/>
    <mergeCell ref="L25:M25"/>
    <mergeCell ref="B26:C26"/>
    <mergeCell ref="D26:E26"/>
    <mergeCell ref="F26:G26"/>
    <mergeCell ref="H26:I26"/>
    <mergeCell ref="J26:K26"/>
    <mergeCell ref="C43:M43"/>
    <mergeCell ref="A31:M31"/>
    <mergeCell ref="D33:M33"/>
    <mergeCell ref="D34:M34"/>
    <mergeCell ref="D35:M35"/>
    <mergeCell ref="D36:M36"/>
    <mergeCell ref="A37:B37"/>
    <mergeCell ref="A38:B38"/>
    <mergeCell ref="C38:M38"/>
    <mergeCell ref="A41:B41"/>
    <mergeCell ref="C41:M41"/>
    <mergeCell ref="D42:M42"/>
  </mergeCells>
  <printOptions horizontalCentered="1"/>
  <pageMargins left="0.51181102362204722" right="0.51181102362204722" top="0.78740157480314965" bottom="0.78740157480314965" header="0.31496062992125984" footer="0.31496062992125984"/>
  <pageSetup paperSize="9" scale="93" orientation="portrait" r:id="rId1"/>
  <headerFooter>
    <oddFooter>&amp;L&amp;F&amp;C&amp;A&amp;R&amp;P/&amp;N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60"/>
  <sheetViews>
    <sheetView topLeftCell="A12" workbookViewId="0">
      <selection activeCell="E40" sqref="E40"/>
    </sheetView>
  </sheetViews>
  <sheetFormatPr defaultRowHeight="15"/>
  <cols>
    <col min="1" max="1" width="10.125" style="130" customWidth="1"/>
    <col min="2" max="2" width="6.125" style="130" customWidth="1"/>
    <col min="3" max="3" width="5.875" style="130" customWidth="1"/>
    <col min="4" max="13" width="6.125" style="130" customWidth="1"/>
    <col min="14" max="17" width="9" style="130"/>
    <col min="18" max="18" width="43.25" style="130" customWidth="1"/>
    <col min="19" max="16384" width="9" style="130"/>
  </cols>
  <sheetData>
    <row r="1" spans="1:13" s="129" customFormat="1" ht="39.950000000000003" customHeight="1">
      <c r="A1" s="804" t="s">
        <v>757</v>
      </c>
      <c r="B1" s="804"/>
      <c r="C1" s="804"/>
      <c r="D1" s="804"/>
      <c r="E1" s="804"/>
      <c r="F1" s="804"/>
      <c r="G1" s="804"/>
      <c r="H1" s="804"/>
      <c r="I1" s="804"/>
      <c r="J1" s="804"/>
      <c r="K1" s="804"/>
      <c r="L1" s="804"/>
      <c r="M1" s="804"/>
    </row>
    <row r="3" spans="1:13" ht="20.100000000000001" customHeight="1">
      <c r="A3" s="970" t="s">
        <v>190</v>
      </c>
      <c r="B3" s="971"/>
      <c r="C3" s="626">
        <v>3</v>
      </c>
      <c r="D3" s="969" t="s">
        <v>576</v>
      </c>
      <c r="E3" s="969"/>
      <c r="F3" s="969"/>
      <c r="G3" s="969"/>
      <c r="H3" s="969"/>
      <c r="I3" s="969"/>
      <c r="J3" s="969"/>
      <c r="K3" s="969"/>
      <c r="L3" s="969"/>
      <c r="M3" s="969"/>
    </row>
    <row r="4" spans="1:13" ht="45" customHeight="1">
      <c r="A4" s="959" t="s">
        <v>294</v>
      </c>
      <c r="B4" s="959"/>
      <c r="C4" s="959"/>
      <c r="D4" s="960" t="s">
        <v>725</v>
      </c>
      <c r="E4" s="960"/>
      <c r="F4" s="960"/>
      <c r="G4" s="960"/>
      <c r="H4" s="960"/>
      <c r="I4" s="960"/>
      <c r="J4" s="960"/>
      <c r="K4" s="960"/>
      <c r="L4" s="960"/>
      <c r="M4" s="960"/>
    </row>
    <row r="6" spans="1:13" ht="20.100000000000001" customHeight="1">
      <c r="A6" s="969" t="s">
        <v>192</v>
      </c>
      <c r="B6" s="969"/>
      <c r="C6" s="626">
        <v>1</v>
      </c>
      <c r="D6" s="969" t="s">
        <v>726</v>
      </c>
      <c r="E6" s="969"/>
      <c r="F6" s="969"/>
      <c r="G6" s="969"/>
      <c r="H6" s="969"/>
      <c r="I6" s="969"/>
      <c r="J6" s="969"/>
      <c r="K6" s="969"/>
      <c r="L6" s="969"/>
      <c r="M6" s="969"/>
    </row>
    <row r="7" spans="1:13" ht="45" customHeight="1">
      <c r="A7" s="959" t="s">
        <v>291</v>
      </c>
      <c r="B7" s="959"/>
      <c r="C7" s="959"/>
      <c r="D7" s="960" t="s">
        <v>725</v>
      </c>
      <c r="E7" s="960"/>
      <c r="F7" s="960"/>
      <c r="G7" s="960"/>
      <c r="H7" s="960"/>
      <c r="I7" s="960"/>
      <c r="J7" s="960"/>
      <c r="K7" s="960"/>
      <c r="L7" s="960"/>
      <c r="M7" s="960"/>
    </row>
    <row r="8" spans="1:13" ht="45" customHeight="1">
      <c r="A8" s="959" t="s">
        <v>293</v>
      </c>
      <c r="B8" s="959"/>
      <c r="C8" s="959"/>
      <c r="D8" s="960" t="s">
        <v>727</v>
      </c>
      <c r="E8" s="960"/>
      <c r="F8" s="960"/>
      <c r="G8" s="960"/>
      <c r="H8" s="960"/>
      <c r="I8" s="960"/>
      <c r="J8" s="960"/>
      <c r="K8" s="960"/>
      <c r="L8" s="960"/>
      <c r="M8" s="960"/>
    </row>
    <row r="9" spans="1:13" ht="30" customHeight="1">
      <c r="A9" s="959" t="s">
        <v>292</v>
      </c>
      <c r="B9" s="959"/>
      <c r="C9" s="959"/>
      <c r="D9" s="960" t="s">
        <v>728</v>
      </c>
      <c r="E9" s="960"/>
      <c r="F9" s="960"/>
      <c r="G9" s="960"/>
      <c r="H9" s="960"/>
      <c r="I9" s="960"/>
      <c r="J9" s="960"/>
      <c r="K9" s="960"/>
      <c r="L9" s="960"/>
      <c r="M9" s="960"/>
    </row>
    <row r="11" spans="1:13" ht="46.5" customHeight="1">
      <c r="A11" s="969" t="s">
        <v>193</v>
      </c>
      <c r="B11" s="969"/>
      <c r="C11" s="626">
        <v>2</v>
      </c>
      <c r="D11" s="972" t="s">
        <v>582</v>
      </c>
      <c r="E11" s="972"/>
      <c r="F11" s="972"/>
      <c r="G11" s="972"/>
      <c r="H11" s="972"/>
      <c r="I11" s="972"/>
      <c r="J11" s="972"/>
      <c r="K11" s="972"/>
      <c r="L11" s="972"/>
      <c r="M11" s="972"/>
    </row>
    <row r="12" spans="1:13" s="150" customFormat="1" ht="20.100000000000001" customHeight="1">
      <c r="A12" s="961" t="s">
        <v>308</v>
      </c>
      <c r="B12" s="962"/>
      <c r="C12" s="963"/>
      <c r="D12" s="960" t="s">
        <v>581</v>
      </c>
      <c r="E12" s="960"/>
      <c r="F12" s="960"/>
      <c r="G12" s="960"/>
      <c r="H12" s="960"/>
      <c r="I12" s="960"/>
      <c r="J12" s="960"/>
      <c r="K12" s="960"/>
      <c r="L12" s="960"/>
      <c r="M12" s="960"/>
    </row>
    <row r="13" spans="1:13" ht="30" customHeight="1">
      <c r="A13" s="959" t="s">
        <v>296</v>
      </c>
      <c r="B13" s="959"/>
      <c r="C13" s="959"/>
      <c r="D13" s="960" t="s">
        <v>643</v>
      </c>
      <c r="E13" s="960"/>
      <c r="F13" s="960"/>
      <c r="G13" s="960"/>
      <c r="H13" s="960"/>
      <c r="I13" s="960"/>
      <c r="J13" s="960"/>
      <c r="K13" s="960"/>
      <c r="L13" s="960"/>
      <c r="M13" s="960"/>
    </row>
    <row r="14" spans="1:13" ht="20.100000000000001" customHeight="1">
      <c r="A14" s="959" t="s">
        <v>311</v>
      </c>
      <c r="B14" s="959"/>
      <c r="C14" s="959"/>
      <c r="D14" s="960" t="s">
        <v>644</v>
      </c>
      <c r="E14" s="960"/>
      <c r="F14" s="960"/>
      <c r="G14" s="960"/>
      <c r="H14" s="960"/>
      <c r="I14" s="960"/>
      <c r="J14" s="960"/>
      <c r="K14" s="960"/>
      <c r="L14" s="960"/>
      <c r="M14" s="960"/>
    </row>
    <row r="15" spans="1:13" s="150" customFormat="1" ht="20.100000000000001" customHeight="1">
      <c r="A15" s="961" t="s">
        <v>305</v>
      </c>
      <c r="B15" s="962"/>
      <c r="C15" s="963"/>
      <c r="D15" s="960" t="s">
        <v>654</v>
      </c>
      <c r="E15" s="960"/>
      <c r="F15" s="960"/>
      <c r="G15" s="960"/>
      <c r="H15" s="960"/>
      <c r="I15" s="960"/>
      <c r="J15" s="960"/>
      <c r="K15" s="960"/>
      <c r="L15" s="960"/>
      <c r="M15" s="960"/>
    </row>
    <row r="16" spans="1:13" ht="45" customHeight="1">
      <c r="A16" s="959" t="s">
        <v>297</v>
      </c>
      <c r="B16" s="959"/>
      <c r="C16" s="959"/>
      <c r="D16" s="960" t="s">
        <v>758</v>
      </c>
      <c r="E16" s="960"/>
      <c r="F16" s="960"/>
      <c r="G16" s="960"/>
      <c r="H16" s="960"/>
      <c r="I16" s="960"/>
      <c r="J16" s="960"/>
      <c r="K16" s="960"/>
      <c r="L16" s="960"/>
      <c r="M16" s="960"/>
    </row>
    <row r="17" spans="1:13" ht="60" customHeight="1">
      <c r="A17" s="959" t="s">
        <v>299</v>
      </c>
      <c r="B17" s="959"/>
      <c r="C17" s="959"/>
      <c r="D17" s="960" t="s">
        <v>759</v>
      </c>
      <c r="E17" s="960"/>
      <c r="F17" s="960"/>
      <c r="G17" s="960"/>
      <c r="H17" s="960"/>
      <c r="I17" s="960"/>
      <c r="J17" s="960"/>
      <c r="K17" s="960"/>
      <c r="L17" s="960"/>
      <c r="M17" s="960"/>
    </row>
    <row r="18" spans="1:13" ht="30" customHeight="1">
      <c r="A18" s="959" t="s">
        <v>292</v>
      </c>
      <c r="B18" s="959"/>
      <c r="C18" s="959"/>
      <c r="D18" s="960" t="s">
        <v>728</v>
      </c>
      <c r="E18" s="960"/>
      <c r="F18" s="960"/>
      <c r="G18" s="960"/>
      <c r="H18" s="960"/>
      <c r="I18" s="960"/>
      <c r="J18" s="960"/>
      <c r="K18" s="960"/>
      <c r="L18" s="960"/>
      <c r="M18" s="960"/>
    </row>
    <row r="19" spans="1:13" ht="20.100000000000001" customHeight="1">
      <c r="A19" s="959" t="s">
        <v>302</v>
      </c>
      <c r="B19" s="959"/>
      <c r="C19" s="959"/>
      <c r="D19" s="960" t="s">
        <v>760</v>
      </c>
      <c r="E19" s="960"/>
      <c r="F19" s="960"/>
      <c r="G19" s="960"/>
      <c r="H19" s="960"/>
      <c r="I19" s="960"/>
      <c r="J19" s="960"/>
      <c r="K19" s="960"/>
      <c r="L19" s="960"/>
      <c r="M19" s="960"/>
    </row>
    <row r="20" spans="1:13" ht="20.100000000000001" customHeight="1">
      <c r="A20" s="959" t="s">
        <v>303</v>
      </c>
      <c r="B20" s="959"/>
      <c r="C20" s="959"/>
      <c r="D20" s="960" t="s">
        <v>224</v>
      </c>
      <c r="E20" s="960"/>
      <c r="F20" s="960"/>
      <c r="G20" s="960"/>
      <c r="H20" s="960"/>
      <c r="I20" s="960"/>
      <c r="J20" s="960"/>
      <c r="K20" s="960"/>
      <c r="L20" s="960"/>
      <c r="M20" s="960"/>
    </row>
    <row r="21" spans="1:13" ht="20.100000000000001" customHeight="1"/>
    <row r="22" spans="1:13" ht="20.100000000000001" customHeight="1">
      <c r="A22" s="582" t="s">
        <v>339</v>
      </c>
      <c r="B22" s="956" t="s">
        <v>313</v>
      </c>
      <c r="C22" s="957"/>
      <c r="D22" s="958">
        <v>2021</v>
      </c>
      <c r="E22" s="958"/>
      <c r="F22" s="958">
        <v>2022</v>
      </c>
      <c r="G22" s="958"/>
      <c r="H22" s="958">
        <v>2023</v>
      </c>
      <c r="I22" s="958"/>
      <c r="J22" s="958">
        <v>2024</v>
      </c>
      <c r="K22" s="958"/>
      <c r="L22" s="958">
        <v>2025</v>
      </c>
      <c r="M22" s="958"/>
    </row>
    <row r="23" spans="1:13" ht="20.100000000000001" customHeight="1">
      <c r="A23" s="134" t="str">
        <f>D12</f>
        <v>3.1.2</v>
      </c>
      <c r="B23" s="889">
        <f>SUM(D23:M23)</f>
        <v>5</v>
      </c>
      <c r="C23" s="890"/>
      <c r="D23" s="889">
        <v>1</v>
      </c>
      <c r="E23" s="890"/>
      <c r="F23" s="889">
        <v>1</v>
      </c>
      <c r="G23" s="890"/>
      <c r="H23" s="889">
        <v>1</v>
      </c>
      <c r="I23" s="890"/>
      <c r="J23" s="889">
        <v>1</v>
      </c>
      <c r="K23" s="890"/>
      <c r="L23" s="889">
        <v>1</v>
      </c>
      <c r="M23" s="890"/>
    </row>
    <row r="24" spans="1:13" ht="20.100000000000001" customHeight="1"/>
    <row r="25" spans="1:13" ht="20.100000000000001" customHeight="1">
      <c r="A25" s="582" t="s">
        <v>339</v>
      </c>
      <c r="B25" s="956" t="s">
        <v>173</v>
      </c>
      <c r="C25" s="957"/>
      <c r="D25" s="958">
        <v>2021</v>
      </c>
      <c r="E25" s="958"/>
      <c r="F25" s="958">
        <v>2022</v>
      </c>
      <c r="G25" s="958"/>
      <c r="H25" s="958">
        <v>2023</v>
      </c>
      <c r="I25" s="958"/>
      <c r="J25" s="958">
        <v>2024</v>
      </c>
      <c r="K25" s="958"/>
      <c r="L25" s="958">
        <v>2025</v>
      </c>
      <c r="M25" s="958"/>
    </row>
    <row r="26" spans="1:13" ht="20.100000000000001" customHeight="1">
      <c r="A26" s="134" t="str">
        <f>D12</f>
        <v>3.1.2</v>
      </c>
      <c r="B26" s="886">
        <f>SUM(D26:M26)</f>
        <v>2517116.5291692331</v>
      </c>
      <c r="C26" s="887"/>
      <c r="D26" s="886">
        <f>'Gerenciadora de TI'!G23</f>
        <v>464727.95910611958</v>
      </c>
      <c r="E26" s="890"/>
      <c r="F26" s="886">
        <f>D26*(1+$A$28)</f>
        <v>483317.0774703644</v>
      </c>
      <c r="G26" s="890"/>
      <c r="H26" s="886">
        <f>F26*(1+$A$28)</f>
        <v>502649.76056917896</v>
      </c>
      <c r="I26" s="890"/>
      <c r="J26" s="886">
        <f>H26*(1+$A$28)</f>
        <v>522755.75099194614</v>
      </c>
      <c r="K26" s="890"/>
      <c r="L26" s="886">
        <f>J26*(1+$A$28)</f>
        <v>543665.98103162402</v>
      </c>
      <c r="M26" s="890"/>
    </row>
    <row r="28" spans="1:13">
      <c r="A28" s="558">
        <v>0.04</v>
      </c>
      <c r="B28" s="532" t="s">
        <v>646</v>
      </c>
      <c r="C28" s="532"/>
    </row>
    <row r="30" spans="1:13" s="129" customFormat="1" ht="39.950000000000003" customHeight="1">
      <c r="A30" s="804" t="s">
        <v>341</v>
      </c>
      <c r="B30" s="804"/>
      <c r="C30" s="804"/>
      <c r="D30" s="804"/>
      <c r="E30" s="804"/>
      <c r="F30" s="804"/>
      <c r="G30" s="804"/>
      <c r="H30" s="804"/>
      <c r="I30" s="804"/>
      <c r="J30" s="804"/>
      <c r="K30" s="804"/>
      <c r="L30" s="804"/>
      <c r="M30" s="804"/>
    </row>
    <row r="32" spans="1:13" ht="30" customHeight="1">
      <c r="A32" s="570" t="str">
        <f>A3</f>
        <v>FINALIDADE</v>
      </c>
      <c r="B32" s="571"/>
      <c r="C32" s="583">
        <f>C3</f>
        <v>3</v>
      </c>
      <c r="D32" s="949" t="str">
        <f>D3</f>
        <v>APOIO AO COMITÊ DE BACIA HIDROGRÁFICA</v>
      </c>
      <c r="E32" s="949"/>
      <c r="F32" s="949"/>
      <c r="G32" s="949"/>
      <c r="H32" s="949"/>
      <c r="I32" s="949"/>
      <c r="J32" s="949"/>
      <c r="K32" s="949"/>
      <c r="L32" s="949"/>
      <c r="M32" s="949"/>
    </row>
    <row r="33" spans="1:18" ht="30" customHeight="1">
      <c r="A33" s="572" t="str">
        <f>A6</f>
        <v>PROGRAMA</v>
      </c>
      <c r="B33" s="573"/>
      <c r="C33" s="167">
        <f>C6</f>
        <v>1</v>
      </c>
      <c r="D33" s="885" t="str">
        <f>D6</f>
        <v>Suporte ao funcionamento do comitê de bacia hidrográfica</v>
      </c>
      <c r="E33" s="885"/>
      <c r="F33" s="885"/>
      <c r="G33" s="885"/>
      <c r="H33" s="885"/>
      <c r="I33" s="885"/>
      <c r="J33" s="885"/>
      <c r="K33" s="885"/>
      <c r="L33" s="885"/>
      <c r="M33" s="885"/>
    </row>
    <row r="34" spans="1:18" ht="30" customHeight="1">
      <c r="A34" s="574" t="str">
        <f>A11</f>
        <v>AÇÃO</v>
      </c>
      <c r="B34" s="575"/>
      <c r="C34" s="167">
        <f>C11</f>
        <v>2</v>
      </c>
      <c r="D34" s="885" t="str">
        <f>D11</f>
        <v>Serviços de tecnologia da informação necessários ao funcionamento dos sistemas corporativos do comitê de bacia hidrográfica e da entidade delegatária</v>
      </c>
      <c r="E34" s="885"/>
      <c r="F34" s="885"/>
      <c r="G34" s="885"/>
      <c r="H34" s="885"/>
      <c r="I34" s="885"/>
      <c r="J34" s="885"/>
      <c r="K34" s="885"/>
      <c r="L34" s="885"/>
      <c r="M34" s="885"/>
    </row>
    <row r="35" spans="1:18" ht="30" customHeight="1">
      <c r="A35" s="576" t="s">
        <v>317</v>
      </c>
      <c r="B35" s="577"/>
      <c r="C35" s="167">
        <v>1</v>
      </c>
      <c r="D35" s="885" t="s">
        <v>653</v>
      </c>
      <c r="E35" s="885"/>
      <c r="F35" s="885"/>
      <c r="G35" s="885"/>
      <c r="H35" s="885"/>
      <c r="I35" s="885"/>
      <c r="J35" s="885"/>
      <c r="K35" s="885"/>
      <c r="L35" s="885"/>
      <c r="M35" s="885"/>
    </row>
    <row r="36" spans="1:18" s="150" customFormat="1" ht="30" customHeight="1">
      <c r="A36" s="950" t="s">
        <v>308</v>
      </c>
      <c r="B36" s="951"/>
      <c r="C36" s="560"/>
      <c r="D36" s="551">
        <f>C32</f>
        <v>3</v>
      </c>
      <c r="E36" s="551">
        <f>C33</f>
        <v>1</v>
      </c>
      <c r="F36" s="551">
        <f>C34</f>
        <v>2</v>
      </c>
      <c r="G36" s="551">
        <f>C35</f>
        <v>1</v>
      </c>
      <c r="H36" s="560"/>
      <c r="I36" s="560"/>
      <c r="J36" s="560"/>
      <c r="K36" s="560"/>
      <c r="L36" s="560"/>
      <c r="M36" s="561"/>
      <c r="R36" s="554"/>
    </row>
    <row r="37" spans="1:18" s="150" customFormat="1" ht="71.25" customHeight="1">
      <c r="A37" s="952" t="s">
        <v>321</v>
      </c>
      <c r="B37" s="953"/>
      <c r="C37" s="919" t="s">
        <v>761</v>
      </c>
      <c r="D37" s="920"/>
      <c r="E37" s="920"/>
      <c r="F37" s="920"/>
      <c r="G37" s="920"/>
      <c r="H37" s="920"/>
      <c r="I37" s="920"/>
      <c r="J37" s="920"/>
      <c r="K37" s="920"/>
      <c r="L37" s="920"/>
      <c r="M37" s="921"/>
      <c r="P37" s="158"/>
      <c r="Q37" s="253"/>
      <c r="R37" s="553"/>
    </row>
    <row r="38" spans="1:18" s="150" customFormat="1" ht="20.100000000000001" customHeight="1">
      <c r="P38" s="158"/>
    </row>
    <row r="39" spans="1:18" s="150" customFormat="1" ht="35.1" customHeight="1">
      <c r="A39" s="950" t="s">
        <v>650</v>
      </c>
      <c r="B39" s="951"/>
      <c r="C39" s="954" t="s">
        <v>656</v>
      </c>
      <c r="D39" s="954"/>
      <c r="E39" s="954"/>
      <c r="F39" s="954"/>
      <c r="G39" s="954"/>
      <c r="H39" s="954"/>
      <c r="I39" s="954"/>
      <c r="J39" s="954"/>
      <c r="K39" s="954"/>
      <c r="L39" s="954"/>
      <c r="M39" s="955"/>
      <c r="P39" s="158"/>
    </row>
    <row r="40" spans="1:18" s="150" customFormat="1" ht="20.100000000000001" customHeight="1">
      <c r="A40" s="578" t="s">
        <v>338</v>
      </c>
      <c r="B40" s="579"/>
      <c r="C40" s="255" t="s">
        <v>648</v>
      </c>
      <c r="D40" s="873" t="s">
        <v>649</v>
      </c>
      <c r="E40" s="874"/>
      <c r="F40" s="874"/>
      <c r="G40" s="874"/>
      <c r="H40" s="874"/>
      <c r="I40" s="874"/>
      <c r="J40" s="874"/>
      <c r="K40" s="874"/>
      <c r="L40" s="874"/>
      <c r="M40" s="875"/>
      <c r="P40" s="158"/>
    </row>
    <row r="41" spans="1:18" s="150" customFormat="1" ht="20.100000000000001" customHeight="1">
      <c r="A41" s="580" t="s">
        <v>340</v>
      </c>
      <c r="B41" s="581"/>
      <c r="C41" s="876" t="s">
        <v>651</v>
      </c>
      <c r="D41" s="876"/>
      <c r="E41" s="876"/>
      <c r="F41" s="876"/>
      <c r="G41" s="876"/>
      <c r="H41" s="876"/>
      <c r="I41" s="876"/>
      <c r="J41" s="876"/>
      <c r="K41" s="876"/>
      <c r="L41" s="876"/>
      <c r="M41" s="877"/>
      <c r="P41" s="158"/>
    </row>
    <row r="42" spans="1:18" s="150" customFormat="1" ht="20.100000000000001" customHeight="1">
      <c r="A42" s="161" t="s">
        <v>327</v>
      </c>
      <c r="B42" s="162">
        <v>1</v>
      </c>
      <c r="C42" s="162">
        <v>2</v>
      </c>
      <c r="D42" s="162">
        <v>3</v>
      </c>
      <c r="E42" s="162">
        <v>4</v>
      </c>
      <c r="F42" s="162">
        <v>5</v>
      </c>
      <c r="G42" s="162">
        <v>6</v>
      </c>
      <c r="H42" s="162">
        <v>7</v>
      </c>
      <c r="I42" s="162">
        <v>8</v>
      </c>
      <c r="J42" s="162">
        <v>9</v>
      </c>
      <c r="K42" s="162">
        <v>10</v>
      </c>
      <c r="L42" s="162">
        <v>11</v>
      </c>
      <c r="M42" s="162">
        <v>12</v>
      </c>
    </row>
    <row r="43" spans="1:18" s="150" customFormat="1" ht="20.100000000000001" customHeight="1">
      <c r="A43" s="161" t="s">
        <v>328</v>
      </c>
      <c r="B43" s="164"/>
      <c r="C43" s="164"/>
      <c r="D43" s="164"/>
      <c r="E43" s="164"/>
      <c r="F43" s="164"/>
      <c r="G43" s="164"/>
      <c r="H43" s="164"/>
      <c r="I43" s="164"/>
      <c r="J43" s="164"/>
      <c r="K43" s="164"/>
      <c r="L43" s="164"/>
      <c r="M43" s="164"/>
    </row>
    <row r="44" spans="1:18" s="150" customFormat="1" ht="20.100000000000001" customHeight="1">
      <c r="A44" s="161" t="s">
        <v>329</v>
      </c>
      <c r="B44" s="243">
        <f>$D$26/12</f>
        <v>38727.329925509963</v>
      </c>
      <c r="C44" s="243">
        <f t="shared" ref="C44:M44" si="0">$D$26/12</f>
        <v>38727.329925509963</v>
      </c>
      <c r="D44" s="243">
        <f t="shared" si="0"/>
        <v>38727.329925509963</v>
      </c>
      <c r="E44" s="243">
        <f t="shared" si="0"/>
        <v>38727.329925509963</v>
      </c>
      <c r="F44" s="243">
        <f t="shared" si="0"/>
        <v>38727.329925509963</v>
      </c>
      <c r="G44" s="243">
        <f t="shared" si="0"/>
        <v>38727.329925509963</v>
      </c>
      <c r="H44" s="243">
        <f t="shared" si="0"/>
        <v>38727.329925509963</v>
      </c>
      <c r="I44" s="243">
        <f t="shared" si="0"/>
        <v>38727.329925509963</v>
      </c>
      <c r="J44" s="243">
        <f t="shared" si="0"/>
        <v>38727.329925509963</v>
      </c>
      <c r="K44" s="243">
        <f t="shared" si="0"/>
        <v>38727.329925509963</v>
      </c>
      <c r="L44" s="243">
        <f t="shared" si="0"/>
        <v>38727.329925509963</v>
      </c>
      <c r="M44" s="243">
        <f t="shared" si="0"/>
        <v>38727.329925509963</v>
      </c>
    </row>
    <row r="45" spans="1:18" s="150" customFormat="1" ht="20.100000000000001" customHeight="1"/>
    <row r="46" spans="1:18" s="150" customFormat="1" ht="20.100000000000001" customHeight="1">
      <c r="A46" s="161" t="s">
        <v>327</v>
      </c>
      <c r="B46" s="162">
        <v>13</v>
      </c>
      <c r="C46" s="162">
        <v>14</v>
      </c>
      <c r="D46" s="162">
        <v>15</v>
      </c>
      <c r="E46" s="162">
        <v>16</v>
      </c>
      <c r="F46" s="162">
        <v>17</v>
      </c>
      <c r="G46" s="162">
        <v>18</v>
      </c>
      <c r="H46" s="162">
        <v>19</v>
      </c>
      <c r="I46" s="162">
        <v>20</v>
      </c>
      <c r="J46" s="162">
        <v>21</v>
      </c>
      <c r="K46" s="162">
        <v>22</v>
      </c>
      <c r="L46" s="162">
        <v>23</v>
      </c>
      <c r="M46" s="162">
        <v>24</v>
      </c>
    </row>
    <row r="47" spans="1:18" s="150" customFormat="1" ht="20.100000000000001" customHeight="1">
      <c r="A47" s="161" t="s">
        <v>328</v>
      </c>
      <c r="B47" s="164"/>
      <c r="C47" s="164"/>
      <c r="D47" s="164"/>
      <c r="E47" s="164"/>
      <c r="F47" s="164"/>
      <c r="G47" s="164"/>
      <c r="H47" s="164"/>
      <c r="I47" s="164"/>
      <c r="J47" s="164"/>
      <c r="K47" s="164"/>
      <c r="L47" s="164"/>
      <c r="M47" s="164"/>
    </row>
    <row r="48" spans="1:18" s="150" customFormat="1" ht="20.100000000000001" customHeight="1">
      <c r="A48" s="161" t="s">
        <v>329</v>
      </c>
      <c r="B48" s="243">
        <f>$F$26/12</f>
        <v>40276.423122530367</v>
      </c>
      <c r="C48" s="243">
        <f t="shared" ref="C48:M48" si="1">$F$26/12</f>
        <v>40276.423122530367</v>
      </c>
      <c r="D48" s="243">
        <f t="shared" si="1"/>
        <v>40276.423122530367</v>
      </c>
      <c r="E48" s="243">
        <f t="shared" si="1"/>
        <v>40276.423122530367</v>
      </c>
      <c r="F48" s="243">
        <f t="shared" si="1"/>
        <v>40276.423122530367</v>
      </c>
      <c r="G48" s="243">
        <f t="shared" si="1"/>
        <v>40276.423122530367</v>
      </c>
      <c r="H48" s="243">
        <f t="shared" si="1"/>
        <v>40276.423122530367</v>
      </c>
      <c r="I48" s="243">
        <f t="shared" si="1"/>
        <v>40276.423122530367</v>
      </c>
      <c r="J48" s="243">
        <f t="shared" si="1"/>
        <v>40276.423122530367</v>
      </c>
      <c r="K48" s="243">
        <f t="shared" si="1"/>
        <v>40276.423122530367</v>
      </c>
      <c r="L48" s="243">
        <f t="shared" si="1"/>
        <v>40276.423122530367</v>
      </c>
      <c r="M48" s="243">
        <f t="shared" si="1"/>
        <v>40276.423122530367</v>
      </c>
    </row>
    <row r="49" spans="1:13" s="150" customFormat="1" ht="20.100000000000001" customHeight="1"/>
    <row r="50" spans="1:13" s="150" customFormat="1" ht="20.100000000000001" customHeight="1">
      <c r="A50" s="161" t="s">
        <v>327</v>
      </c>
      <c r="B50" s="162">
        <v>25</v>
      </c>
      <c r="C50" s="162">
        <v>26</v>
      </c>
      <c r="D50" s="162">
        <v>27</v>
      </c>
      <c r="E50" s="162">
        <v>28</v>
      </c>
      <c r="F50" s="162">
        <v>29</v>
      </c>
      <c r="G50" s="162">
        <v>30</v>
      </c>
      <c r="H50" s="162">
        <v>31</v>
      </c>
      <c r="I50" s="162">
        <v>32</v>
      </c>
      <c r="J50" s="162">
        <v>33</v>
      </c>
      <c r="K50" s="162">
        <v>34</v>
      </c>
      <c r="L50" s="162">
        <v>35</v>
      </c>
      <c r="M50" s="162">
        <v>36</v>
      </c>
    </row>
    <row r="51" spans="1:13" s="150" customFormat="1" ht="20.100000000000001" customHeight="1">
      <c r="A51" s="161" t="s">
        <v>328</v>
      </c>
      <c r="B51" s="164"/>
      <c r="C51" s="164"/>
      <c r="D51" s="164"/>
      <c r="E51" s="164"/>
      <c r="F51" s="164"/>
      <c r="G51" s="164"/>
      <c r="H51" s="164"/>
      <c r="I51" s="164"/>
      <c r="J51" s="164"/>
      <c r="K51" s="164"/>
      <c r="L51" s="164"/>
      <c r="M51" s="164"/>
    </row>
    <row r="52" spans="1:13" s="150" customFormat="1" ht="20.100000000000001" customHeight="1">
      <c r="A52" s="161" t="s">
        <v>329</v>
      </c>
      <c r="B52" s="243">
        <f>$H$26/12</f>
        <v>41887.480047431578</v>
      </c>
      <c r="C52" s="243">
        <f t="shared" ref="C52:M52" si="2">$H$26/12</f>
        <v>41887.480047431578</v>
      </c>
      <c r="D52" s="243">
        <f t="shared" si="2"/>
        <v>41887.480047431578</v>
      </c>
      <c r="E52" s="243">
        <f t="shared" si="2"/>
        <v>41887.480047431578</v>
      </c>
      <c r="F52" s="243">
        <f t="shared" si="2"/>
        <v>41887.480047431578</v>
      </c>
      <c r="G52" s="243">
        <f t="shared" si="2"/>
        <v>41887.480047431578</v>
      </c>
      <c r="H52" s="243">
        <f t="shared" si="2"/>
        <v>41887.480047431578</v>
      </c>
      <c r="I52" s="243">
        <f t="shared" si="2"/>
        <v>41887.480047431578</v>
      </c>
      <c r="J52" s="243">
        <f t="shared" si="2"/>
        <v>41887.480047431578</v>
      </c>
      <c r="K52" s="243">
        <f t="shared" si="2"/>
        <v>41887.480047431578</v>
      </c>
      <c r="L52" s="243">
        <f t="shared" si="2"/>
        <v>41887.480047431578</v>
      </c>
      <c r="M52" s="243">
        <f t="shared" si="2"/>
        <v>41887.480047431578</v>
      </c>
    </row>
    <row r="54" spans="1:13" s="150" customFormat="1" ht="20.100000000000001" customHeight="1">
      <c r="A54" s="161" t="s">
        <v>327</v>
      </c>
      <c r="B54" s="162">
        <v>37</v>
      </c>
      <c r="C54" s="162">
        <v>38</v>
      </c>
      <c r="D54" s="162">
        <v>39</v>
      </c>
      <c r="E54" s="162">
        <v>40</v>
      </c>
      <c r="F54" s="162">
        <v>41</v>
      </c>
      <c r="G54" s="162">
        <v>42</v>
      </c>
      <c r="H54" s="162">
        <v>43</v>
      </c>
      <c r="I54" s="162">
        <v>44</v>
      </c>
      <c r="J54" s="162">
        <v>45</v>
      </c>
      <c r="K54" s="162">
        <v>46</v>
      </c>
      <c r="L54" s="162">
        <v>47</v>
      </c>
      <c r="M54" s="162">
        <v>48</v>
      </c>
    </row>
    <row r="55" spans="1:13" s="150" customFormat="1" ht="20.100000000000001" customHeight="1">
      <c r="A55" s="161" t="s">
        <v>328</v>
      </c>
      <c r="B55" s="164"/>
      <c r="C55" s="164"/>
      <c r="D55" s="164"/>
      <c r="E55" s="164"/>
      <c r="F55" s="164"/>
      <c r="G55" s="164"/>
      <c r="H55" s="164"/>
      <c r="I55" s="164"/>
      <c r="J55" s="164"/>
      <c r="K55" s="164"/>
      <c r="L55" s="164"/>
      <c r="M55" s="164"/>
    </row>
    <row r="56" spans="1:13" s="150" customFormat="1" ht="20.100000000000001" customHeight="1">
      <c r="A56" s="161" t="s">
        <v>329</v>
      </c>
      <c r="B56" s="243">
        <f>$J$26/12</f>
        <v>43562.979249328848</v>
      </c>
      <c r="C56" s="243">
        <f t="shared" ref="C56:M56" si="3">$J$26/12</f>
        <v>43562.979249328848</v>
      </c>
      <c r="D56" s="243">
        <f t="shared" si="3"/>
        <v>43562.979249328848</v>
      </c>
      <c r="E56" s="243">
        <f t="shared" si="3"/>
        <v>43562.979249328848</v>
      </c>
      <c r="F56" s="243">
        <f t="shared" si="3"/>
        <v>43562.979249328848</v>
      </c>
      <c r="G56" s="243">
        <f t="shared" si="3"/>
        <v>43562.979249328848</v>
      </c>
      <c r="H56" s="243">
        <f t="shared" si="3"/>
        <v>43562.979249328848</v>
      </c>
      <c r="I56" s="243">
        <f t="shared" si="3"/>
        <v>43562.979249328848</v>
      </c>
      <c r="J56" s="243">
        <f t="shared" si="3"/>
        <v>43562.979249328848</v>
      </c>
      <c r="K56" s="243">
        <f t="shared" si="3"/>
        <v>43562.979249328848</v>
      </c>
      <c r="L56" s="243">
        <f t="shared" si="3"/>
        <v>43562.979249328848</v>
      </c>
      <c r="M56" s="243">
        <f t="shared" si="3"/>
        <v>43562.979249328848</v>
      </c>
    </row>
    <row r="58" spans="1:13" s="150" customFormat="1" ht="20.100000000000001" customHeight="1">
      <c r="A58" s="161" t="s">
        <v>327</v>
      </c>
      <c r="B58" s="162">
        <v>49</v>
      </c>
      <c r="C58" s="162">
        <v>50</v>
      </c>
      <c r="D58" s="162">
        <v>51</v>
      </c>
      <c r="E58" s="162">
        <v>52</v>
      </c>
      <c r="F58" s="162">
        <v>53</v>
      </c>
      <c r="G58" s="162">
        <v>54</v>
      </c>
      <c r="H58" s="162">
        <v>55</v>
      </c>
      <c r="I58" s="162">
        <v>56</v>
      </c>
      <c r="J58" s="162">
        <v>57</v>
      </c>
      <c r="K58" s="162">
        <v>58</v>
      </c>
      <c r="L58" s="162">
        <v>59</v>
      </c>
      <c r="M58" s="162">
        <v>60</v>
      </c>
    </row>
    <row r="59" spans="1:13" s="150" customFormat="1" ht="20.100000000000001" customHeight="1">
      <c r="A59" s="161" t="s">
        <v>328</v>
      </c>
      <c r="B59" s="164"/>
      <c r="C59" s="164"/>
      <c r="D59" s="164"/>
      <c r="E59" s="164"/>
      <c r="F59" s="164"/>
      <c r="G59" s="164"/>
      <c r="H59" s="164"/>
      <c r="I59" s="164"/>
      <c r="J59" s="164"/>
      <c r="K59" s="164"/>
      <c r="L59" s="164"/>
      <c r="M59" s="164"/>
    </row>
    <row r="60" spans="1:13" s="150" customFormat="1" ht="20.100000000000001" customHeight="1">
      <c r="A60" s="161" t="s">
        <v>329</v>
      </c>
      <c r="B60" s="243">
        <f>$L$26/12</f>
        <v>45305.498419301999</v>
      </c>
      <c r="C60" s="243">
        <f t="shared" ref="C60:M60" si="4">$L$26/12</f>
        <v>45305.498419301999</v>
      </c>
      <c r="D60" s="243">
        <f t="shared" si="4"/>
        <v>45305.498419301999</v>
      </c>
      <c r="E60" s="243">
        <f t="shared" si="4"/>
        <v>45305.498419301999</v>
      </c>
      <c r="F60" s="243">
        <f t="shared" si="4"/>
        <v>45305.498419301999</v>
      </c>
      <c r="G60" s="243">
        <f t="shared" si="4"/>
        <v>45305.498419301999</v>
      </c>
      <c r="H60" s="243">
        <f t="shared" si="4"/>
        <v>45305.498419301999</v>
      </c>
      <c r="I60" s="243">
        <f t="shared" si="4"/>
        <v>45305.498419301999</v>
      </c>
      <c r="J60" s="243">
        <f t="shared" si="4"/>
        <v>45305.498419301999</v>
      </c>
      <c r="K60" s="243">
        <f t="shared" si="4"/>
        <v>45305.498419301999</v>
      </c>
      <c r="L60" s="243">
        <f t="shared" si="4"/>
        <v>45305.498419301999</v>
      </c>
      <c r="M60" s="243">
        <f t="shared" si="4"/>
        <v>45305.498419301999</v>
      </c>
    </row>
  </sheetData>
  <mergeCells count="69">
    <mergeCell ref="C41:M41"/>
    <mergeCell ref="A30:M30"/>
    <mergeCell ref="D32:M32"/>
    <mergeCell ref="D33:M33"/>
    <mergeCell ref="D34:M34"/>
    <mergeCell ref="D35:M35"/>
    <mergeCell ref="A36:B36"/>
    <mergeCell ref="A37:B37"/>
    <mergeCell ref="C37:M37"/>
    <mergeCell ref="A39:B39"/>
    <mergeCell ref="C39:M39"/>
    <mergeCell ref="D40:M40"/>
    <mergeCell ref="H23:I23"/>
    <mergeCell ref="J23:K23"/>
    <mergeCell ref="L26:M26"/>
    <mergeCell ref="B25:C25"/>
    <mergeCell ref="D25:E25"/>
    <mergeCell ref="F25:G25"/>
    <mergeCell ref="H25:I25"/>
    <mergeCell ref="J25:K25"/>
    <mergeCell ref="L25:M25"/>
    <mergeCell ref="B26:C26"/>
    <mergeCell ref="D26:E26"/>
    <mergeCell ref="F26:G26"/>
    <mergeCell ref="H26:I26"/>
    <mergeCell ref="J26:K26"/>
    <mergeCell ref="A18:C18"/>
    <mergeCell ref="D18:M18"/>
    <mergeCell ref="L23:M23"/>
    <mergeCell ref="A19:C19"/>
    <mergeCell ref="D19:M19"/>
    <mergeCell ref="A20:C20"/>
    <mergeCell ref="D20:M20"/>
    <mergeCell ref="B22:C22"/>
    <mergeCell ref="D22:E22"/>
    <mergeCell ref="F22:G22"/>
    <mergeCell ref="H22:I22"/>
    <mergeCell ref="J22:K22"/>
    <mergeCell ref="L22:M22"/>
    <mergeCell ref="B23:C23"/>
    <mergeCell ref="D23:E23"/>
    <mergeCell ref="F23:G23"/>
    <mergeCell ref="A15:C15"/>
    <mergeCell ref="D15:M15"/>
    <mergeCell ref="A16:C16"/>
    <mergeCell ref="D16:M16"/>
    <mergeCell ref="A17:C17"/>
    <mergeCell ref="D17:M17"/>
    <mergeCell ref="A7:C7"/>
    <mergeCell ref="D7:M7"/>
    <mergeCell ref="A8:C8"/>
    <mergeCell ref="D8:M8"/>
    <mergeCell ref="A9:C9"/>
    <mergeCell ref="D9:M9"/>
    <mergeCell ref="A13:C13"/>
    <mergeCell ref="D13:M13"/>
    <mergeCell ref="A14:C14"/>
    <mergeCell ref="D14:M14"/>
    <mergeCell ref="A11:B11"/>
    <mergeCell ref="A12:C12"/>
    <mergeCell ref="D12:M12"/>
    <mergeCell ref="D11:M11"/>
    <mergeCell ref="A1:M1"/>
    <mergeCell ref="D3:M3"/>
    <mergeCell ref="A4:C4"/>
    <mergeCell ref="D4:M4"/>
    <mergeCell ref="D6:M6"/>
    <mergeCell ref="A3:B3"/>
    <mergeCell ref="A6:B6"/>
  </mergeCells>
  <printOptions horizontalCentered="1"/>
  <pageMargins left="0.51181102362204722" right="0.51181102362204722" top="0.78740157480314965" bottom="0.78740157480314965" header="0.31496062992125984" footer="0.31496062992125984"/>
  <pageSetup paperSize="9" scale="95" orientation="portrait" r:id="rId1"/>
  <headerFooter>
    <oddFooter>&amp;L&amp;F&amp;C&amp;A&amp;R&amp;P/&amp;N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52"/>
  <sheetViews>
    <sheetView topLeftCell="A24" workbookViewId="0">
      <selection activeCell="E40" sqref="E40"/>
    </sheetView>
  </sheetViews>
  <sheetFormatPr defaultColWidth="8.75" defaultRowHeight="14.25"/>
  <cols>
    <col min="1" max="16384" width="8.75" style="1"/>
  </cols>
  <sheetData>
    <row r="1" spans="1:9">
      <c r="A1" s="3"/>
      <c r="B1" s="4"/>
      <c r="C1" s="4"/>
      <c r="D1" s="4"/>
      <c r="E1" s="4"/>
      <c r="F1" s="4"/>
      <c r="G1" s="4"/>
      <c r="H1" s="4"/>
      <c r="I1" s="5"/>
    </row>
    <row r="2" spans="1:9">
      <c r="A2" s="6"/>
      <c r="B2" s="2"/>
      <c r="C2" s="2"/>
      <c r="D2" s="2"/>
      <c r="E2" s="2"/>
      <c r="F2" s="2"/>
      <c r="G2" s="2"/>
      <c r="H2" s="2"/>
      <c r="I2" s="7"/>
    </row>
    <row r="3" spans="1:9">
      <c r="A3" s="6"/>
      <c r="B3" s="2"/>
      <c r="C3" s="2"/>
      <c r="D3" s="2"/>
      <c r="E3" s="2"/>
      <c r="F3" s="2"/>
      <c r="G3" s="2"/>
      <c r="H3" s="2"/>
      <c r="I3" s="7"/>
    </row>
    <row r="4" spans="1:9">
      <c r="A4" s="6"/>
      <c r="B4" s="2"/>
      <c r="C4" s="2"/>
      <c r="D4" s="2"/>
      <c r="E4" s="2"/>
      <c r="F4" s="2"/>
      <c r="G4" s="2"/>
      <c r="H4" s="2"/>
      <c r="I4" s="7"/>
    </row>
    <row r="5" spans="1:9">
      <c r="A5" s="6"/>
      <c r="B5" s="2"/>
      <c r="C5" s="2"/>
      <c r="D5" s="2"/>
      <c r="E5" s="2"/>
      <c r="F5" s="2"/>
      <c r="G5" s="2"/>
      <c r="H5" s="2"/>
      <c r="I5" s="7"/>
    </row>
    <row r="6" spans="1:9">
      <c r="A6" s="6"/>
      <c r="B6" s="2"/>
      <c r="C6" s="2"/>
      <c r="D6" s="2"/>
      <c r="E6" s="2"/>
      <c r="F6" s="2"/>
      <c r="G6" s="2"/>
      <c r="H6" s="2"/>
      <c r="I6" s="7"/>
    </row>
    <row r="7" spans="1:9">
      <c r="A7" s="6"/>
      <c r="B7" s="2"/>
      <c r="C7" s="2"/>
      <c r="D7" s="2"/>
      <c r="E7" s="2"/>
      <c r="F7" s="2"/>
      <c r="G7" s="2"/>
      <c r="H7" s="2"/>
      <c r="I7" s="7"/>
    </row>
    <row r="8" spans="1:9">
      <c r="A8" s="6"/>
      <c r="B8" s="2"/>
      <c r="C8" s="2"/>
      <c r="D8" s="2"/>
      <c r="E8" s="2"/>
      <c r="F8" s="2"/>
      <c r="G8" s="2"/>
      <c r="H8" s="2"/>
      <c r="I8" s="7"/>
    </row>
    <row r="9" spans="1:9">
      <c r="A9" s="6"/>
      <c r="B9" s="2"/>
      <c r="C9" s="2"/>
      <c r="D9" s="2"/>
      <c r="E9" s="2"/>
      <c r="F9" s="2"/>
      <c r="G9" s="2"/>
      <c r="H9" s="2"/>
      <c r="I9" s="7"/>
    </row>
    <row r="10" spans="1:9">
      <c r="A10" s="6"/>
      <c r="B10" s="2"/>
      <c r="C10" s="2"/>
      <c r="D10" s="2"/>
      <c r="E10" s="2"/>
      <c r="F10" s="2"/>
      <c r="G10" s="2"/>
      <c r="H10" s="2"/>
      <c r="I10" s="7"/>
    </row>
    <row r="11" spans="1:9">
      <c r="A11" s="6"/>
      <c r="B11" s="2"/>
      <c r="C11" s="2"/>
      <c r="D11" s="2"/>
      <c r="E11" s="2"/>
      <c r="F11" s="2"/>
      <c r="G11" s="2"/>
      <c r="H11" s="2"/>
      <c r="I11" s="7"/>
    </row>
    <row r="12" spans="1:9">
      <c r="A12" s="6"/>
      <c r="B12" s="2"/>
      <c r="C12" s="2"/>
      <c r="D12" s="2"/>
      <c r="E12" s="2"/>
      <c r="F12" s="2"/>
      <c r="G12" s="2"/>
      <c r="H12" s="2"/>
      <c r="I12" s="7"/>
    </row>
    <row r="13" spans="1:9">
      <c r="A13" s="6"/>
      <c r="B13" s="2"/>
      <c r="C13" s="2"/>
      <c r="D13" s="2"/>
      <c r="E13" s="2"/>
      <c r="F13" s="2"/>
      <c r="G13" s="2"/>
      <c r="H13" s="2"/>
      <c r="I13" s="7"/>
    </row>
    <row r="14" spans="1:9">
      <c r="A14" s="6"/>
      <c r="B14" s="2"/>
      <c r="C14" s="2"/>
      <c r="D14" s="2"/>
      <c r="E14" s="2"/>
      <c r="F14" s="2"/>
      <c r="G14" s="2"/>
      <c r="H14" s="2"/>
      <c r="I14" s="7"/>
    </row>
    <row r="15" spans="1:9">
      <c r="A15" s="6"/>
      <c r="B15" s="2"/>
      <c r="C15" s="2"/>
      <c r="D15" s="2"/>
      <c r="E15" s="2"/>
      <c r="F15" s="2"/>
      <c r="G15" s="2"/>
      <c r="H15" s="2"/>
      <c r="I15" s="7"/>
    </row>
    <row r="16" spans="1:9">
      <c r="A16" s="6"/>
      <c r="B16" s="2"/>
      <c r="C16" s="2"/>
      <c r="D16" s="2"/>
      <c r="E16" s="2"/>
      <c r="F16" s="2"/>
      <c r="G16" s="2"/>
      <c r="H16" s="2"/>
      <c r="I16" s="7"/>
    </row>
    <row r="17" spans="1:9">
      <c r="A17" s="6"/>
      <c r="B17" s="2"/>
      <c r="C17" s="2"/>
      <c r="D17" s="2"/>
      <c r="E17" s="2"/>
      <c r="F17" s="2"/>
      <c r="G17" s="2"/>
      <c r="H17" s="2"/>
      <c r="I17" s="7"/>
    </row>
    <row r="18" spans="1:9">
      <c r="A18" s="6"/>
      <c r="B18" s="2"/>
      <c r="C18" s="2"/>
      <c r="D18" s="2"/>
      <c r="E18" s="2"/>
      <c r="F18" s="2"/>
      <c r="G18" s="2"/>
      <c r="H18" s="2"/>
      <c r="I18" s="7"/>
    </row>
    <row r="19" spans="1:9">
      <c r="A19" s="6"/>
      <c r="B19" s="2"/>
      <c r="C19" s="2"/>
      <c r="D19" s="2"/>
      <c r="E19" s="2"/>
      <c r="F19" s="2"/>
      <c r="G19" s="2"/>
      <c r="H19" s="2"/>
      <c r="I19" s="7"/>
    </row>
    <row r="20" spans="1:9">
      <c r="A20" s="6"/>
      <c r="B20" s="2"/>
      <c r="C20" s="2"/>
      <c r="D20" s="2"/>
      <c r="E20" s="2"/>
      <c r="F20" s="2"/>
      <c r="G20" s="2"/>
      <c r="H20" s="2"/>
      <c r="I20" s="7"/>
    </row>
    <row r="21" spans="1:9">
      <c r="A21" s="6"/>
      <c r="B21" s="2"/>
      <c r="C21" s="2"/>
      <c r="D21" s="2"/>
      <c r="E21" s="2"/>
      <c r="F21" s="2"/>
      <c r="G21" s="2"/>
      <c r="H21" s="2"/>
      <c r="I21" s="7"/>
    </row>
    <row r="22" spans="1:9">
      <c r="A22" s="6"/>
      <c r="B22" s="2"/>
      <c r="C22" s="2"/>
      <c r="D22" s="2"/>
      <c r="E22" s="2"/>
      <c r="F22" s="2"/>
      <c r="G22" s="2"/>
      <c r="H22" s="2"/>
      <c r="I22" s="7"/>
    </row>
    <row r="23" spans="1:9">
      <c r="A23" s="6"/>
      <c r="B23" s="2"/>
      <c r="C23" s="2"/>
      <c r="D23" s="2"/>
      <c r="E23" s="2"/>
      <c r="F23" s="2"/>
      <c r="G23" s="2"/>
      <c r="H23" s="2"/>
      <c r="I23" s="7"/>
    </row>
    <row r="24" spans="1:9">
      <c r="A24" s="6"/>
      <c r="B24" s="2"/>
      <c r="C24" s="2"/>
      <c r="D24" s="2"/>
      <c r="E24" s="2"/>
      <c r="F24" s="2"/>
      <c r="G24" s="2"/>
      <c r="H24" s="2"/>
      <c r="I24" s="7"/>
    </row>
    <row r="25" spans="1:9" ht="14.25" customHeight="1">
      <c r="A25" s="6"/>
      <c r="B25" s="799" t="s">
        <v>209</v>
      </c>
      <c r="C25" s="799"/>
      <c r="D25" s="799"/>
      <c r="E25" s="799"/>
      <c r="F25" s="799"/>
      <c r="G25" s="799"/>
      <c r="H25" s="799"/>
      <c r="I25" s="7"/>
    </row>
    <row r="26" spans="1:9" ht="14.25" customHeight="1">
      <c r="A26" s="6"/>
      <c r="B26" s="799"/>
      <c r="C26" s="799"/>
      <c r="D26" s="799"/>
      <c r="E26" s="799"/>
      <c r="F26" s="799"/>
      <c r="G26" s="799"/>
      <c r="H26" s="799"/>
      <c r="I26" s="7"/>
    </row>
    <row r="27" spans="1:9" ht="13.9" customHeight="1">
      <c r="A27" s="6"/>
      <c r="B27" s="799"/>
      <c r="C27" s="799"/>
      <c r="D27" s="799"/>
      <c r="E27" s="799"/>
      <c r="F27" s="799"/>
      <c r="G27" s="799"/>
      <c r="H27" s="799"/>
      <c r="I27" s="7"/>
    </row>
    <row r="28" spans="1:9" ht="13.9" customHeight="1">
      <c r="A28" s="6"/>
      <c r="B28" s="11"/>
      <c r="C28" s="11"/>
      <c r="D28" s="11"/>
      <c r="E28" s="11"/>
      <c r="F28" s="11"/>
      <c r="G28" s="11"/>
      <c r="H28" s="11"/>
      <c r="I28" s="7"/>
    </row>
    <row r="29" spans="1:9" ht="13.9" customHeight="1">
      <c r="A29" s="6"/>
      <c r="B29" s="11"/>
      <c r="C29" s="11"/>
      <c r="D29" s="11"/>
      <c r="E29" s="11"/>
      <c r="F29" s="11"/>
      <c r="G29" s="11"/>
      <c r="H29" s="11"/>
      <c r="I29" s="7"/>
    </row>
    <row r="30" spans="1:9" ht="13.9" customHeight="1">
      <c r="A30" s="6"/>
      <c r="B30" s="11"/>
      <c r="C30" s="11"/>
      <c r="D30" s="11"/>
      <c r="E30" s="11"/>
      <c r="F30" s="11"/>
      <c r="G30" s="11"/>
      <c r="H30" s="11"/>
      <c r="I30" s="7"/>
    </row>
    <row r="31" spans="1:9">
      <c r="A31" s="6"/>
      <c r="B31" s="2"/>
      <c r="C31" s="2"/>
      <c r="D31" s="2"/>
      <c r="E31" s="2"/>
      <c r="F31" s="2"/>
      <c r="G31" s="2"/>
      <c r="H31" s="2"/>
      <c r="I31" s="7"/>
    </row>
    <row r="32" spans="1:9">
      <c r="A32" s="6"/>
      <c r="B32" s="2"/>
      <c r="C32" s="2"/>
      <c r="D32" s="2"/>
      <c r="E32" s="2"/>
      <c r="F32" s="2"/>
      <c r="G32" s="2"/>
      <c r="H32" s="2"/>
      <c r="I32" s="7"/>
    </row>
    <row r="33" spans="1:9">
      <c r="A33" s="6"/>
      <c r="B33" s="2"/>
      <c r="C33" s="2"/>
      <c r="D33" s="2"/>
      <c r="E33" s="2"/>
      <c r="F33" s="2"/>
      <c r="G33" s="2"/>
      <c r="H33" s="2"/>
      <c r="I33" s="7"/>
    </row>
    <row r="34" spans="1:9">
      <c r="A34" s="6"/>
      <c r="B34" s="2"/>
      <c r="C34" s="2"/>
      <c r="D34" s="2"/>
      <c r="E34" s="2"/>
      <c r="F34" s="2"/>
      <c r="G34" s="2"/>
      <c r="H34" s="2"/>
      <c r="I34" s="7"/>
    </row>
    <row r="35" spans="1:9">
      <c r="A35" s="6"/>
      <c r="B35" s="2"/>
      <c r="C35" s="2"/>
      <c r="D35" s="2"/>
      <c r="E35" s="2"/>
      <c r="F35" s="2"/>
      <c r="G35" s="2"/>
      <c r="H35" s="2"/>
      <c r="I35" s="7"/>
    </row>
    <row r="36" spans="1:9">
      <c r="A36" s="6"/>
      <c r="B36" s="2"/>
      <c r="C36" s="2"/>
      <c r="D36" s="2"/>
      <c r="E36" s="2"/>
      <c r="F36" s="2"/>
      <c r="G36" s="2"/>
      <c r="H36" s="2"/>
      <c r="I36" s="7"/>
    </row>
    <row r="37" spans="1:9">
      <c r="A37" s="6"/>
      <c r="B37" s="2"/>
      <c r="C37" s="2"/>
      <c r="D37" s="2"/>
      <c r="E37" s="2"/>
      <c r="F37" s="2"/>
      <c r="G37" s="2"/>
      <c r="H37" s="2"/>
      <c r="I37" s="7"/>
    </row>
    <row r="38" spans="1:9">
      <c r="A38" s="6"/>
      <c r="B38" s="2"/>
      <c r="C38" s="2"/>
      <c r="D38" s="2"/>
      <c r="E38" s="2"/>
      <c r="F38" s="2"/>
      <c r="G38" s="2"/>
      <c r="H38" s="2"/>
      <c r="I38" s="7"/>
    </row>
    <row r="39" spans="1:9">
      <c r="A39" s="6"/>
      <c r="B39" s="2"/>
      <c r="C39" s="2"/>
      <c r="D39" s="2"/>
      <c r="E39" s="2"/>
      <c r="F39" s="2"/>
      <c r="G39" s="2"/>
      <c r="H39" s="2"/>
      <c r="I39" s="7"/>
    </row>
    <row r="40" spans="1:9">
      <c r="A40" s="6"/>
      <c r="B40" s="2"/>
      <c r="C40" s="2"/>
      <c r="D40" s="2"/>
      <c r="E40" s="2"/>
      <c r="F40" s="2"/>
      <c r="G40" s="2"/>
      <c r="H40" s="2"/>
      <c r="I40" s="7"/>
    </row>
    <row r="41" spans="1:9">
      <c r="A41" s="6"/>
      <c r="B41" s="2"/>
      <c r="C41" s="2"/>
      <c r="D41" s="2"/>
      <c r="E41" s="2"/>
      <c r="F41" s="2"/>
      <c r="G41" s="2"/>
      <c r="H41" s="2"/>
      <c r="I41" s="7"/>
    </row>
    <row r="42" spans="1:9">
      <c r="A42" s="6"/>
      <c r="B42" s="2"/>
      <c r="C42" s="2"/>
      <c r="D42" s="2"/>
      <c r="E42" s="2"/>
      <c r="F42" s="2"/>
      <c r="G42" s="2"/>
      <c r="H42" s="2"/>
      <c r="I42" s="7"/>
    </row>
    <row r="43" spans="1:9">
      <c r="A43" s="6"/>
      <c r="B43" s="2"/>
      <c r="C43" s="2"/>
      <c r="D43" s="2"/>
      <c r="E43" s="2"/>
      <c r="F43" s="2"/>
      <c r="G43" s="2"/>
      <c r="H43" s="2"/>
      <c r="I43" s="7"/>
    </row>
    <row r="44" spans="1:9">
      <c r="A44" s="6"/>
      <c r="B44" s="2"/>
      <c r="C44" s="2"/>
      <c r="D44" s="2"/>
      <c r="E44" s="2"/>
      <c r="F44" s="2"/>
      <c r="G44" s="2"/>
      <c r="H44" s="2"/>
      <c r="I44" s="7"/>
    </row>
    <row r="45" spans="1:9">
      <c r="A45" s="6"/>
      <c r="B45" s="2"/>
      <c r="C45" s="2"/>
      <c r="D45" s="2"/>
      <c r="E45" s="2"/>
      <c r="F45" s="2"/>
      <c r="G45" s="2"/>
      <c r="H45" s="2"/>
      <c r="I45" s="7"/>
    </row>
    <row r="46" spans="1:9">
      <c r="A46" s="6"/>
      <c r="B46" s="2"/>
      <c r="C46" s="2"/>
      <c r="D46" s="2"/>
      <c r="E46" s="2"/>
      <c r="F46" s="2"/>
      <c r="G46" s="2"/>
      <c r="H46" s="2"/>
      <c r="I46" s="7"/>
    </row>
    <row r="47" spans="1:9">
      <c r="A47" s="6"/>
      <c r="B47" s="2"/>
      <c r="C47" s="2"/>
      <c r="D47" s="2"/>
      <c r="E47" s="2"/>
      <c r="F47" s="2"/>
      <c r="G47" s="2"/>
      <c r="H47" s="2"/>
      <c r="I47" s="7"/>
    </row>
    <row r="48" spans="1:9">
      <c r="A48" s="6"/>
      <c r="B48" s="2"/>
      <c r="C48" s="2"/>
      <c r="D48" s="2"/>
      <c r="E48" s="2"/>
      <c r="F48" s="2"/>
      <c r="G48" s="2"/>
      <c r="H48" s="2"/>
      <c r="I48" s="7"/>
    </row>
    <row r="49" spans="1:9">
      <c r="A49" s="6"/>
      <c r="B49" s="2"/>
      <c r="C49" s="2"/>
      <c r="D49" s="2"/>
      <c r="E49" s="2"/>
      <c r="F49" s="2"/>
      <c r="G49" s="2"/>
      <c r="H49" s="2"/>
      <c r="I49" s="7"/>
    </row>
    <row r="50" spans="1:9">
      <c r="A50" s="6"/>
      <c r="B50" s="2"/>
      <c r="C50" s="2"/>
      <c r="D50" s="801" t="s">
        <v>893</v>
      </c>
      <c r="E50" s="800"/>
      <c r="F50" s="800"/>
      <c r="G50" s="2"/>
      <c r="H50" s="2"/>
      <c r="I50" s="7"/>
    </row>
    <row r="51" spans="1:9">
      <c r="A51" s="6"/>
      <c r="B51" s="2"/>
      <c r="C51" s="2"/>
      <c r="D51" s="800"/>
      <c r="E51" s="800"/>
      <c r="F51" s="800"/>
      <c r="G51" s="2"/>
      <c r="H51" s="2"/>
      <c r="I51" s="7"/>
    </row>
    <row r="52" spans="1:9" ht="15" thickBot="1">
      <c r="A52" s="8"/>
      <c r="B52" s="9"/>
      <c r="C52" s="9"/>
      <c r="D52" s="9"/>
      <c r="E52" s="9"/>
      <c r="F52" s="9"/>
      <c r="G52" s="9"/>
      <c r="H52" s="9"/>
      <c r="I52" s="10"/>
    </row>
  </sheetData>
  <mergeCells count="3">
    <mergeCell ref="B25:H27"/>
    <mergeCell ref="D50:F50"/>
    <mergeCell ref="D51:F51"/>
  </mergeCells>
  <printOptions horizontalCentered="1"/>
  <pageMargins left="0.51181102362204722" right="0.51181102362204722" top="0.78740157480314965" bottom="0.78740157480314965" header="0.31496062992125984" footer="0.31496062992125984"/>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I55"/>
  <sheetViews>
    <sheetView workbookViewId="0">
      <selection activeCell="E40" sqref="E40"/>
    </sheetView>
  </sheetViews>
  <sheetFormatPr defaultRowHeight="15.75"/>
  <cols>
    <col min="1" max="1" width="9.125" style="175" bestFit="1" customWidth="1"/>
    <col min="2" max="2" width="49.875" style="175" bestFit="1" customWidth="1"/>
    <col min="3" max="3" width="10.625" style="175" bestFit="1" customWidth="1"/>
    <col min="4" max="4" width="10.625" style="175" customWidth="1"/>
    <col min="5" max="5" width="12.625" style="175" customWidth="1"/>
    <col min="6" max="6" width="11.125" style="175" customWidth="1"/>
    <col min="7" max="7" width="12.375" style="175" bestFit="1" customWidth="1"/>
    <col min="8" max="8" width="10.375" style="175" bestFit="1" customWidth="1"/>
    <col min="9" max="12" width="11.125" style="175" customWidth="1"/>
    <col min="13" max="16384" width="9" style="175"/>
  </cols>
  <sheetData>
    <row r="1" spans="1:9" s="174" customFormat="1" ht="39.950000000000003" customHeight="1">
      <c r="A1" s="173"/>
      <c r="B1" s="982" t="s">
        <v>798</v>
      </c>
      <c r="C1" s="982"/>
      <c r="D1" s="982"/>
      <c r="E1" s="982"/>
      <c r="F1" s="982"/>
      <c r="G1" s="982"/>
      <c r="H1" s="173"/>
    </row>
    <row r="2" spans="1:9" ht="9.9499999999999993" customHeight="1">
      <c r="F2" s="176"/>
      <c r="G2" s="177"/>
    </row>
    <row r="3" spans="1:9" ht="15.6" customHeight="1">
      <c r="A3" s="179"/>
      <c r="B3" s="180"/>
      <c r="C3" s="181"/>
      <c r="D3" s="181"/>
      <c r="E3" s="181"/>
      <c r="G3" s="182" t="s">
        <v>210</v>
      </c>
      <c r="H3" s="625">
        <v>44146</v>
      </c>
    </row>
    <row r="4" spans="1:9" ht="9.9499999999999993" customHeight="1">
      <c r="F4" s="176"/>
      <c r="G4" s="177"/>
    </row>
    <row r="5" spans="1:9" ht="15" customHeight="1">
      <c r="A5" s="977" t="s">
        <v>285</v>
      </c>
      <c r="B5" s="983" t="s">
        <v>211</v>
      </c>
      <c r="C5" s="984" t="s">
        <v>212</v>
      </c>
      <c r="D5" s="985"/>
      <c r="E5" s="183" t="s">
        <v>213</v>
      </c>
      <c r="F5" s="986" t="s">
        <v>214</v>
      </c>
      <c r="G5" s="986" t="s">
        <v>215</v>
      </c>
      <c r="H5" s="976" t="s">
        <v>216</v>
      </c>
    </row>
    <row r="6" spans="1:9" ht="15" customHeight="1">
      <c r="A6" s="977"/>
      <c r="B6" s="983"/>
      <c r="C6" s="184" t="s">
        <v>217</v>
      </c>
      <c r="D6" s="185" t="s">
        <v>218</v>
      </c>
      <c r="E6" s="186" t="s">
        <v>219</v>
      </c>
      <c r="F6" s="986"/>
      <c r="G6" s="987"/>
      <c r="H6" s="976"/>
    </row>
    <row r="7" spans="1:9" ht="20.100000000000001" customHeight="1">
      <c r="A7" s="187">
        <v>1</v>
      </c>
      <c r="B7" s="188" t="s">
        <v>332</v>
      </c>
      <c r="C7" s="189"/>
      <c r="D7" s="190"/>
      <c r="E7" s="190"/>
      <c r="F7" s="189"/>
      <c r="G7" s="191">
        <f>SUM(G8:G9)</f>
        <v>368585.11281840858</v>
      </c>
      <c r="H7" s="192">
        <f>SUM(H8:H9)</f>
        <v>0.82914269161960374</v>
      </c>
    </row>
    <row r="8" spans="1:9" ht="20.100000000000001" customHeight="1">
      <c r="A8" s="193" t="s">
        <v>331</v>
      </c>
      <c r="B8" s="194" t="s">
        <v>183</v>
      </c>
      <c r="C8" s="195">
        <f>'Escola de projetos'!C13</f>
        <v>9500</v>
      </c>
      <c r="D8" s="196">
        <f>C8/'Dias trabalhados'!$C$15</f>
        <v>57.212831734050674</v>
      </c>
      <c r="E8" s="197">
        <f>(6*160)+(12*160)</f>
        <v>2880</v>
      </c>
      <c r="F8" s="196">
        <f>D8*E8</f>
        <v>164772.95539406594</v>
      </c>
      <c r="G8" s="196">
        <f>F8*$H$39</f>
        <v>318485.065312666</v>
      </c>
      <c r="H8" s="198">
        <f>G8/$G$25</f>
        <v>0.71644121021265661</v>
      </c>
    </row>
    <row r="9" spans="1:9" ht="20.100000000000001" customHeight="1">
      <c r="A9" s="193" t="s">
        <v>331</v>
      </c>
      <c r="B9" s="194" t="s">
        <v>333</v>
      </c>
      <c r="C9" s="195">
        <f>'Escola de projetos'!$C$23</f>
        <v>1440</v>
      </c>
      <c r="D9" s="196">
        <f>C9/120</f>
        <v>12</v>
      </c>
      <c r="E9" s="197">
        <f>18*120</f>
        <v>2160</v>
      </c>
      <c r="F9" s="196">
        <f>D9*E9</f>
        <v>25920</v>
      </c>
      <c r="G9" s="196">
        <f>F9*$H$39</f>
        <v>50100.047505742557</v>
      </c>
      <c r="H9" s="198">
        <f>G9/$G$25</f>
        <v>0.11270148140694718</v>
      </c>
    </row>
    <row r="10" spans="1:9" ht="20.100000000000001" customHeight="1">
      <c r="A10" s="193" t="s">
        <v>331</v>
      </c>
      <c r="B10" s="194" t="s">
        <v>333</v>
      </c>
      <c r="C10" s="195">
        <f>'Escola de projetos'!$C$23</f>
        <v>1440</v>
      </c>
      <c r="D10" s="196">
        <f>C10/120</f>
        <v>12</v>
      </c>
      <c r="E10" s="197">
        <f t="shared" ref="E10" si="0">18*120</f>
        <v>2160</v>
      </c>
      <c r="F10" s="196">
        <f t="shared" ref="F10:F12" si="1">D10*E10</f>
        <v>25920</v>
      </c>
      <c r="G10" s="196">
        <f t="shared" ref="G10:G12" si="2">F10*$H$39</f>
        <v>50100.047505742557</v>
      </c>
      <c r="H10" s="198">
        <f t="shared" ref="H10:H12" si="3">G10/$G$25</f>
        <v>0.11270148140694718</v>
      </c>
    </row>
    <row r="11" spans="1:9" ht="20.100000000000001" customHeight="1">
      <c r="A11" s="193" t="s">
        <v>331</v>
      </c>
      <c r="B11" s="194" t="s">
        <v>333</v>
      </c>
      <c r="C11" s="195">
        <f>'Escola de projetos'!$C$23</f>
        <v>1440</v>
      </c>
      <c r="D11" s="196">
        <f t="shared" ref="D11:D12" si="4">C11/120</f>
        <v>12</v>
      </c>
      <c r="E11" s="197">
        <f>13*120</f>
        <v>1560</v>
      </c>
      <c r="F11" s="196">
        <f t="shared" si="1"/>
        <v>18720</v>
      </c>
      <c r="G11" s="196">
        <f t="shared" si="2"/>
        <v>36183.36764303629</v>
      </c>
      <c r="H11" s="198">
        <f t="shared" si="3"/>
        <v>8.139551434946185E-2</v>
      </c>
    </row>
    <row r="12" spans="1:9" ht="20.100000000000001" customHeight="1">
      <c r="A12" s="193" t="s">
        <v>331</v>
      </c>
      <c r="B12" s="194" t="s">
        <v>333</v>
      </c>
      <c r="C12" s="195">
        <f>'Escola de projetos'!$C$23</f>
        <v>1440</v>
      </c>
      <c r="D12" s="196">
        <f t="shared" si="4"/>
        <v>12</v>
      </c>
      <c r="E12" s="197">
        <f>13*120</f>
        <v>1560</v>
      </c>
      <c r="F12" s="196">
        <f t="shared" si="1"/>
        <v>18720</v>
      </c>
      <c r="G12" s="196">
        <f t="shared" si="2"/>
        <v>36183.36764303629</v>
      </c>
      <c r="H12" s="198">
        <f t="shared" si="3"/>
        <v>8.139551434946185E-2</v>
      </c>
    </row>
    <row r="13" spans="1:9" ht="20.100000000000001" customHeight="1">
      <c r="A13" s="193"/>
      <c r="B13" s="194"/>
      <c r="C13" s="195"/>
      <c r="D13" s="196"/>
      <c r="E13" s="197"/>
      <c r="F13" s="196"/>
      <c r="G13" s="196"/>
      <c r="H13" s="198"/>
    </row>
    <row r="14" spans="1:9" ht="6" customHeight="1">
      <c r="A14" s="193"/>
      <c r="B14" s="199"/>
      <c r="C14" s="195"/>
      <c r="D14" s="193"/>
      <c r="E14" s="195"/>
      <c r="F14" s="196"/>
      <c r="G14" s="200"/>
      <c r="H14" s="201"/>
      <c r="I14" s="202"/>
    </row>
    <row r="15" spans="1:9" ht="15" customHeight="1">
      <c r="A15" s="977" t="s">
        <v>285</v>
      </c>
      <c r="B15" s="978" t="s">
        <v>211</v>
      </c>
      <c r="C15" s="979" t="s">
        <v>224</v>
      </c>
      <c r="D15" s="204" t="s">
        <v>170</v>
      </c>
      <c r="E15" s="205" t="s">
        <v>169</v>
      </c>
      <c r="F15" s="204" t="s">
        <v>225</v>
      </c>
      <c r="G15" s="980" t="s">
        <v>226</v>
      </c>
      <c r="H15" s="981" t="s">
        <v>216</v>
      </c>
    </row>
    <row r="16" spans="1:9" ht="15" customHeight="1">
      <c r="A16" s="977"/>
      <c r="B16" s="978"/>
      <c r="C16" s="979"/>
      <c r="D16" s="206" t="s">
        <v>63</v>
      </c>
      <c r="E16" s="206" t="s">
        <v>173</v>
      </c>
      <c r="F16" s="207" t="s">
        <v>173</v>
      </c>
      <c r="G16" s="979"/>
      <c r="H16" s="981"/>
    </row>
    <row r="17" spans="1:8" ht="20.100000000000001" customHeight="1">
      <c r="A17" s="187">
        <v>4</v>
      </c>
      <c r="B17" s="188" t="s">
        <v>227</v>
      </c>
      <c r="C17" s="189"/>
      <c r="D17" s="190"/>
      <c r="E17" s="190"/>
      <c r="F17" s="189"/>
      <c r="G17" s="191">
        <f>SUM(G18:G24)</f>
        <v>75952.5</v>
      </c>
      <c r="H17" s="192">
        <f>SUM(H18:H24)</f>
        <v>0.1708573083803962</v>
      </c>
    </row>
    <row r="18" spans="1:8" ht="20.100000000000001" customHeight="1">
      <c r="A18" s="193" t="s">
        <v>330</v>
      </c>
      <c r="B18" s="208" t="s">
        <v>276</v>
      </c>
      <c r="C18" s="196" t="s">
        <v>277</v>
      </c>
      <c r="D18" s="203">
        <v>18</v>
      </c>
      <c r="E18" s="209">
        <v>3366.25</v>
      </c>
      <c r="F18" s="209">
        <f t="shared" ref="F18:F24" si="5">D18*E18</f>
        <v>60592.5</v>
      </c>
      <c r="G18" s="209">
        <f t="shared" ref="G18:G24" si="6">F18*$H$42</f>
        <v>60592.5</v>
      </c>
      <c r="H18" s="198">
        <f>G18/$G$25</f>
        <v>0.13630455163476063</v>
      </c>
    </row>
    <row r="19" spans="1:8" ht="20.100000000000001" customHeight="1">
      <c r="A19" s="193" t="s">
        <v>330</v>
      </c>
      <c r="B19" s="208" t="s">
        <v>278</v>
      </c>
      <c r="C19" s="196" t="s">
        <v>284</v>
      </c>
      <c r="D19" s="203">
        <v>0</v>
      </c>
      <c r="E19" s="209">
        <v>10</v>
      </c>
      <c r="F19" s="209">
        <f t="shared" si="5"/>
        <v>0</v>
      </c>
      <c r="G19" s="209">
        <f t="shared" si="6"/>
        <v>0</v>
      </c>
      <c r="H19" s="198">
        <f t="shared" ref="H19:H24" si="7">G19/$G$25</f>
        <v>0</v>
      </c>
    </row>
    <row r="20" spans="1:8" ht="20.100000000000001" customHeight="1">
      <c r="A20" s="193" t="s">
        <v>330</v>
      </c>
      <c r="B20" s="208" t="s">
        <v>279</v>
      </c>
      <c r="C20" s="196" t="s">
        <v>63</v>
      </c>
      <c r="D20" s="203">
        <f>18*500</f>
        <v>9000</v>
      </c>
      <c r="E20" s="209">
        <v>0.25</v>
      </c>
      <c r="F20" s="209">
        <f t="shared" si="5"/>
        <v>2250</v>
      </c>
      <c r="G20" s="209">
        <f t="shared" si="6"/>
        <v>2250</v>
      </c>
      <c r="H20" s="198">
        <f t="shared" si="7"/>
        <v>5.0614389764114601E-3</v>
      </c>
    </row>
    <row r="21" spans="1:8" ht="20.100000000000001" customHeight="1">
      <c r="A21" s="193" t="s">
        <v>330</v>
      </c>
      <c r="B21" s="208" t="s">
        <v>281</v>
      </c>
      <c r="C21" s="196" t="s">
        <v>63</v>
      </c>
      <c r="D21" s="203">
        <v>10</v>
      </c>
      <c r="E21" s="209">
        <v>15</v>
      </c>
      <c r="F21" s="209">
        <f t="shared" si="5"/>
        <v>150</v>
      </c>
      <c r="G21" s="209">
        <f t="shared" si="6"/>
        <v>150</v>
      </c>
      <c r="H21" s="198">
        <f t="shared" si="7"/>
        <v>3.3742926509409737E-4</v>
      </c>
    </row>
    <row r="22" spans="1:8" ht="20.100000000000001" customHeight="1">
      <c r="A22" s="193" t="s">
        <v>330</v>
      </c>
      <c r="B22" s="208" t="s">
        <v>280</v>
      </c>
      <c r="C22" s="196" t="s">
        <v>63</v>
      </c>
      <c r="D22" s="203">
        <v>0</v>
      </c>
      <c r="E22" s="209">
        <v>150</v>
      </c>
      <c r="F22" s="209">
        <f t="shared" si="5"/>
        <v>0</v>
      </c>
      <c r="G22" s="209">
        <f t="shared" si="6"/>
        <v>0</v>
      </c>
      <c r="H22" s="198">
        <f t="shared" si="7"/>
        <v>0</v>
      </c>
    </row>
    <row r="23" spans="1:8" ht="20.100000000000001" customHeight="1">
      <c r="A23" s="193" t="s">
        <v>330</v>
      </c>
      <c r="B23" s="208" t="s">
        <v>282</v>
      </c>
      <c r="C23" s="196" t="s">
        <v>63</v>
      </c>
      <c r="D23" s="203">
        <f>18*3</f>
        <v>54</v>
      </c>
      <c r="E23" s="209">
        <v>20</v>
      </c>
      <c r="F23" s="209">
        <f t="shared" si="5"/>
        <v>1080</v>
      </c>
      <c r="G23" s="209">
        <f t="shared" si="6"/>
        <v>1080</v>
      </c>
      <c r="H23" s="198">
        <f t="shared" si="7"/>
        <v>2.4294907086775011E-3</v>
      </c>
    </row>
    <row r="24" spans="1:8" ht="20.100000000000001" customHeight="1">
      <c r="A24" s="193" t="s">
        <v>330</v>
      </c>
      <c r="B24" s="208" t="s">
        <v>283</v>
      </c>
      <c r="C24" s="196" t="s">
        <v>63</v>
      </c>
      <c r="D24" s="203">
        <f>3*18</f>
        <v>54</v>
      </c>
      <c r="E24" s="209">
        <v>220</v>
      </c>
      <c r="F24" s="209">
        <f t="shared" si="5"/>
        <v>11880</v>
      </c>
      <c r="G24" s="209">
        <f t="shared" si="6"/>
        <v>11880</v>
      </c>
      <c r="H24" s="198">
        <f t="shared" si="7"/>
        <v>2.672439779545251E-2</v>
      </c>
    </row>
    <row r="25" spans="1:8" ht="20.100000000000001" customHeight="1">
      <c r="A25" s="242"/>
      <c r="B25" s="168" t="s">
        <v>228</v>
      </c>
      <c r="C25" s="168"/>
      <c r="D25" s="168"/>
      <c r="E25" s="169"/>
      <c r="F25" s="170"/>
      <c r="G25" s="171">
        <f>G7+G17</f>
        <v>444537.61281840858</v>
      </c>
      <c r="H25" s="172">
        <f>H7+H17</f>
        <v>1</v>
      </c>
    </row>
    <row r="26" spans="1:8" ht="6" customHeight="1">
      <c r="A26" s="210"/>
      <c r="B26" s="210"/>
      <c r="C26" s="210"/>
      <c r="D26" s="210"/>
      <c r="E26" s="210"/>
      <c r="F26" s="210"/>
      <c r="G26" s="210"/>
      <c r="H26" s="210"/>
    </row>
    <row r="27" spans="1:8" ht="20.100000000000001" customHeight="1">
      <c r="A27" s="974" t="s">
        <v>229</v>
      </c>
      <c r="B27" s="974"/>
      <c r="C27" s="211"/>
      <c r="D27" s="211"/>
      <c r="E27" s="211"/>
      <c r="F27" s="211"/>
      <c r="G27" s="211"/>
      <c r="H27" s="211"/>
    </row>
    <row r="28" spans="1:8" ht="3" customHeight="1">
      <c r="A28" s="212"/>
      <c r="B28" s="213"/>
      <c r="C28" s="212"/>
      <c r="D28" s="214"/>
      <c r="E28" s="215"/>
      <c r="F28" s="216"/>
      <c r="G28" s="195"/>
      <c r="H28" s="195"/>
    </row>
    <row r="29" spans="1:8">
      <c r="A29" s="217"/>
      <c r="B29" s="217" t="s">
        <v>230</v>
      </c>
      <c r="C29" s="218"/>
      <c r="D29" s="219"/>
      <c r="E29" s="220"/>
      <c r="F29" s="221"/>
      <c r="G29" s="222"/>
      <c r="H29" s="223">
        <f>'Encargos sociais e benefícios'!C74/100</f>
        <v>0.93287220315364805</v>
      </c>
    </row>
    <row r="30" spans="1:8">
      <c r="A30" s="217"/>
      <c r="B30" s="217" t="s">
        <v>231</v>
      </c>
      <c r="C30" s="218"/>
      <c r="D30" s="219"/>
      <c r="E30" s="220"/>
      <c r="F30" s="221"/>
      <c r="G30" s="222"/>
      <c r="H30" s="223">
        <v>0</v>
      </c>
    </row>
    <row r="31" spans="1:8">
      <c r="A31" s="224"/>
      <c r="B31" s="224" t="s">
        <v>232</v>
      </c>
      <c r="C31" s="224"/>
      <c r="D31" s="219"/>
      <c r="E31" s="220"/>
      <c r="F31" s="221"/>
      <c r="G31" s="222"/>
      <c r="H31" s="223">
        <v>0</v>
      </c>
    </row>
    <row r="32" spans="1:8">
      <c r="A32" s="224"/>
      <c r="B32" s="224" t="s">
        <v>233</v>
      </c>
      <c r="C32" s="224"/>
      <c r="D32" s="219"/>
      <c r="E32" s="220"/>
      <c r="F32" s="221"/>
      <c r="G32" s="222"/>
      <c r="H32" s="223">
        <v>0</v>
      </c>
    </row>
    <row r="33" spans="1:8">
      <c r="A33" s="224"/>
      <c r="B33" s="224" t="s">
        <v>234</v>
      </c>
      <c r="C33" s="224"/>
      <c r="D33" s="219"/>
      <c r="E33" s="220"/>
      <c r="F33" s="221"/>
      <c r="G33" s="222"/>
      <c r="H33" s="223">
        <v>0</v>
      </c>
    </row>
    <row r="34" spans="1:8">
      <c r="A34" s="225"/>
      <c r="B34" s="225" t="s">
        <v>235</v>
      </c>
      <c r="C34" s="217"/>
      <c r="D34" s="219"/>
      <c r="E34" s="220"/>
      <c r="F34" s="221"/>
      <c r="G34" s="222"/>
      <c r="H34" s="223"/>
    </row>
    <row r="35" spans="1:8">
      <c r="A35" s="217"/>
      <c r="B35" s="217" t="s">
        <v>236</v>
      </c>
      <c r="C35" s="226">
        <v>1.6500000000000001E-2</v>
      </c>
      <c r="D35" s="219"/>
      <c r="E35" s="220"/>
      <c r="F35" s="221"/>
      <c r="G35" s="222"/>
      <c r="H35" s="227"/>
    </row>
    <row r="36" spans="1:8">
      <c r="A36" s="217"/>
      <c r="B36" s="217" t="s">
        <v>237</v>
      </c>
      <c r="C36" s="226">
        <v>7.5999999999999998E-2</v>
      </c>
      <c r="D36" s="219"/>
      <c r="E36" s="220"/>
      <c r="F36" s="221"/>
      <c r="G36" s="222"/>
      <c r="H36" s="227"/>
    </row>
    <row r="37" spans="1:8">
      <c r="A37" s="217"/>
      <c r="B37" s="217" t="s">
        <v>238</v>
      </c>
      <c r="C37" s="226">
        <v>0.05</v>
      </c>
      <c r="D37" s="219"/>
      <c r="E37" s="220"/>
      <c r="F37" s="221"/>
      <c r="G37" s="222"/>
      <c r="H37" s="227"/>
    </row>
    <row r="38" spans="1:8" ht="3" customHeight="1">
      <c r="A38" s="212"/>
      <c r="B38" s="228"/>
      <c r="C38" s="229"/>
      <c r="D38" s="230"/>
      <c r="E38" s="215"/>
      <c r="F38" s="228"/>
      <c r="G38" s="195"/>
      <c r="H38" s="214"/>
    </row>
    <row r="39" spans="1:8">
      <c r="A39" s="231" t="s">
        <v>239</v>
      </c>
      <c r="B39" s="232" t="str">
        <f>B7</f>
        <v>EQUIPE TÉCNICA PERMANENTE - ESCOLA DE PROJETOS</v>
      </c>
      <c r="C39" s="975" t="s">
        <v>240</v>
      </c>
      <c r="D39" s="975"/>
      <c r="E39" s="975"/>
      <c r="F39" s="233"/>
      <c r="G39" s="234"/>
      <c r="H39" s="235">
        <f>(1+H29+H31)*(1+H32)*(1+H33)</f>
        <v>1.932872203153648</v>
      </c>
    </row>
    <row r="40" spans="1:8">
      <c r="A40" s="231" t="s">
        <v>241</v>
      </c>
      <c r="B40" s="232" t="e">
        <f>#REF!</f>
        <v>#REF!</v>
      </c>
      <c r="C40" s="975" t="s">
        <v>242</v>
      </c>
      <c r="D40" s="975"/>
      <c r="E40" s="975"/>
      <c r="F40" s="233"/>
      <c r="G40" s="236"/>
      <c r="H40" s="237">
        <f>(1+H30+H31)*(1+H32)*(1+H33)</f>
        <v>1</v>
      </c>
    </row>
    <row r="41" spans="1:8">
      <c r="A41" s="231" t="s">
        <v>243</v>
      </c>
      <c r="B41" s="232" t="e">
        <f>#REF!</f>
        <v>#REF!</v>
      </c>
      <c r="C41" s="975" t="s">
        <v>244</v>
      </c>
      <c r="D41" s="975"/>
      <c r="E41" s="975"/>
      <c r="F41" s="233"/>
      <c r="G41" s="236"/>
      <c r="H41" s="237">
        <f>(1+H31)*(1+H32)*(1+H33)</f>
        <v>1</v>
      </c>
    </row>
    <row r="42" spans="1:8">
      <c r="A42" s="231" t="s">
        <v>245</v>
      </c>
      <c r="B42" s="232" t="str">
        <f>B17</f>
        <v>DESPESAS DIRETAS</v>
      </c>
      <c r="C42" s="975" t="s">
        <v>246</v>
      </c>
      <c r="D42" s="975"/>
      <c r="E42" s="975"/>
      <c r="F42" s="233"/>
      <c r="G42" s="236"/>
      <c r="H42" s="237">
        <f>(1+H32)*(1+H33)</f>
        <v>1</v>
      </c>
    </row>
    <row r="44" spans="1:8" ht="15" customHeight="1">
      <c r="A44" s="251" t="s">
        <v>247</v>
      </c>
    </row>
    <row r="45" spans="1:8" ht="35.1" customHeight="1">
      <c r="A45" s="238" t="s">
        <v>248</v>
      </c>
      <c r="B45" s="973" t="s">
        <v>343</v>
      </c>
      <c r="C45" s="973"/>
      <c r="D45" s="973"/>
      <c r="E45" s="973"/>
      <c r="F45" s="973"/>
      <c r="G45" s="973"/>
      <c r="H45" s="973"/>
    </row>
    <row r="46" spans="1:8" ht="35.1" customHeight="1">
      <c r="A46" s="238" t="s">
        <v>250</v>
      </c>
      <c r="B46" s="973" t="s">
        <v>344</v>
      </c>
      <c r="C46" s="973"/>
      <c r="D46" s="973"/>
      <c r="E46" s="973"/>
      <c r="F46" s="973"/>
      <c r="G46" s="973"/>
      <c r="H46" s="973"/>
    </row>
    <row r="47" spans="1:8" ht="21.75" customHeight="1">
      <c r="A47" s="238" t="s">
        <v>252</v>
      </c>
      <c r="B47" s="973" t="s">
        <v>253</v>
      </c>
      <c r="C47" s="973"/>
      <c r="D47" s="973"/>
      <c r="E47" s="973"/>
      <c r="F47" s="973"/>
      <c r="G47" s="973"/>
      <c r="H47" s="973"/>
    </row>
    <row r="48" spans="1:8" ht="32.25" customHeight="1">
      <c r="A48" s="238" t="s">
        <v>334</v>
      </c>
      <c r="B48" s="973" t="s">
        <v>345</v>
      </c>
      <c r="C48" s="973"/>
      <c r="D48" s="973"/>
      <c r="E48" s="973"/>
      <c r="F48" s="973"/>
      <c r="G48" s="973"/>
      <c r="H48" s="973"/>
    </row>
    <row r="49" spans="1:9" ht="21.75" customHeight="1">
      <c r="A49" s="238" t="s">
        <v>336</v>
      </c>
      <c r="B49" s="973" t="s">
        <v>346</v>
      </c>
      <c r="C49" s="973"/>
      <c r="D49" s="973"/>
      <c r="E49" s="973"/>
      <c r="F49" s="973"/>
      <c r="G49" s="973"/>
      <c r="H49" s="973"/>
    </row>
    <row r="51" spans="1:9">
      <c r="D51" s="178"/>
    </row>
    <row r="52" spans="1:9">
      <c r="A52" s="178"/>
      <c r="B52" s="178"/>
      <c r="D52" s="178"/>
    </row>
    <row r="53" spans="1:9">
      <c r="D53" s="240"/>
    </row>
    <row r="54" spans="1:9">
      <c r="D54" s="178"/>
    </row>
    <row r="55" spans="1:9">
      <c r="A55" s="241"/>
      <c r="B55" s="239"/>
      <c r="C55" s="177"/>
      <c r="D55" s="178"/>
      <c r="E55" s="177"/>
      <c r="F55" s="177"/>
      <c r="G55" s="177"/>
      <c r="H55" s="177"/>
      <c r="I55" s="180"/>
    </row>
  </sheetData>
  <mergeCells count="22">
    <mergeCell ref="B1:G1"/>
    <mergeCell ref="A5:A6"/>
    <mergeCell ref="B5:B6"/>
    <mergeCell ref="C5:D5"/>
    <mergeCell ref="F5:F6"/>
    <mergeCell ref="G5:G6"/>
    <mergeCell ref="H5:H6"/>
    <mergeCell ref="A15:A16"/>
    <mergeCell ref="B15:B16"/>
    <mergeCell ref="C15:C16"/>
    <mergeCell ref="G15:G16"/>
    <mergeCell ref="H15:H16"/>
    <mergeCell ref="B46:H46"/>
    <mergeCell ref="B47:H47"/>
    <mergeCell ref="B48:H48"/>
    <mergeCell ref="B49:H49"/>
    <mergeCell ref="A27:B27"/>
    <mergeCell ref="C39:E39"/>
    <mergeCell ref="C40:E40"/>
    <mergeCell ref="C41:E41"/>
    <mergeCell ref="C42:E42"/>
    <mergeCell ref="B45:H45"/>
  </mergeCells>
  <printOptions horizontalCentered="1"/>
  <pageMargins left="0.51181102362204722" right="0.51181102362204722" top="0.78740157480314965" bottom="0.78740157480314965" header="0.31496062992125984" footer="0.31496062992125984"/>
  <pageSetup paperSize="9" scale="66" fitToHeight="0" orientation="portrait" r:id="rId1"/>
  <headerFooter>
    <oddFooter>&amp;L&amp;F&amp;C&amp;A&amp;R&amp;P/&amp;N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K40"/>
  <sheetViews>
    <sheetView workbookViewId="0">
      <selection activeCell="E40" sqref="E40"/>
    </sheetView>
  </sheetViews>
  <sheetFormatPr defaultRowHeight="12.75"/>
  <cols>
    <col min="1" max="1" width="9" style="353"/>
    <col min="2" max="2" width="49.875" style="353" bestFit="1" customWidth="1"/>
    <col min="3" max="3" width="10.75" style="353" bestFit="1" customWidth="1"/>
    <col min="4" max="4" width="10.625" style="353" customWidth="1"/>
    <col min="5" max="5" width="12.625" style="353" customWidth="1"/>
    <col min="6" max="6" width="11.125" style="353" customWidth="1"/>
    <col min="7" max="7" width="12.25" style="353" bestFit="1" customWidth="1"/>
    <col min="8" max="8" width="9.875" style="353" bestFit="1" customWidth="1"/>
    <col min="9" max="12" width="11.125" style="353" customWidth="1"/>
    <col min="13" max="16384" width="9" style="353"/>
  </cols>
  <sheetData>
    <row r="1" spans="1:8" s="343" customFormat="1" ht="39.950000000000003" customHeight="1">
      <c r="A1" s="988" t="s">
        <v>897</v>
      </c>
      <c r="B1" s="988"/>
      <c r="C1" s="988"/>
      <c r="D1" s="988"/>
      <c r="E1" s="988"/>
      <c r="F1" s="988"/>
      <c r="G1" s="988"/>
      <c r="H1" s="988"/>
    </row>
    <row r="2" spans="1:8" ht="20.100000000000001" customHeight="1">
      <c r="A2" s="352"/>
      <c r="B2" s="989"/>
      <c r="C2" s="989"/>
      <c r="D2" s="989"/>
      <c r="E2" s="989"/>
      <c r="F2" s="989"/>
      <c r="G2" s="344"/>
      <c r="H2" s="345"/>
    </row>
    <row r="3" spans="1:8" ht="15.6" customHeight="1">
      <c r="A3" s="346"/>
      <c r="B3" s="442" t="s">
        <v>411</v>
      </c>
      <c r="C3" s="441">
        <v>12</v>
      </c>
      <c r="D3" s="441" t="s">
        <v>27</v>
      </c>
      <c r="E3" s="441">
        <v>160</v>
      </c>
      <c r="F3" s="440" t="s">
        <v>160</v>
      </c>
      <c r="G3" s="344" t="s">
        <v>210</v>
      </c>
      <c r="H3" s="625">
        <v>44146</v>
      </c>
    </row>
    <row r="4" spans="1:8" ht="9.9499999999999993" customHeight="1">
      <c r="F4" s="356"/>
      <c r="G4" s="357"/>
    </row>
    <row r="5" spans="1:8" ht="15" customHeight="1">
      <c r="A5" s="990" t="s">
        <v>285</v>
      </c>
      <c r="B5" s="991" t="s">
        <v>211</v>
      </c>
      <c r="C5" s="359" t="s">
        <v>840</v>
      </c>
      <c r="D5" s="360" t="s">
        <v>894</v>
      </c>
      <c r="E5" s="360" t="s">
        <v>894</v>
      </c>
      <c r="F5" s="360" t="s">
        <v>894</v>
      </c>
      <c r="G5" s="360" t="s">
        <v>894</v>
      </c>
      <c r="H5" s="360" t="s">
        <v>894</v>
      </c>
    </row>
    <row r="6" spans="1:8" ht="15" customHeight="1">
      <c r="A6" s="990"/>
      <c r="B6" s="991"/>
      <c r="C6" s="360" t="s">
        <v>2</v>
      </c>
      <c r="D6" s="360">
        <v>2021</v>
      </c>
      <c r="E6" s="360">
        <v>2022</v>
      </c>
      <c r="F6" s="360">
        <v>2023</v>
      </c>
      <c r="G6" s="360">
        <v>2024</v>
      </c>
      <c r="H6" s="360">
        <v>2025</v>
      </c>
    </row>
    <row r="7" spans="1:8" ht="20.100000000000001" customHeight="1">
      <c r="A7" s="362">
        <v>1</v>
      </c>
      <c r="B7" s="363" t="s">
        <v>220</v>
      </c>
      <c r="C7" s="364"/>
      <c r="D7" s="753">
        <f t="shared" ref="D7:F7" si="0">D8</f>
        <v>592020</v>
      </c>
      <c r="E7" s="753">
        <f t="shared" si="0"/>
        <v>615700.80000000005</v>
      </c>
      <c r="F7" s="753">
        <f t="shared" si="0"/>
        <v>640328.83200000005</v>
      </c>
      <c r="G7" s="753">
        <f>G8</f>
        <v>665941.98528000002</v>
      </c>
      <c r="H7" s="753">
        <f>H8</f>
        <v>692579.66469120001</v>
      </c>
    </row>
    <row r="8" spans="1:8" ht="20.100000000000001" customHeight="1">
      <c r="A8" s="368" t="s">
        <v>221</v>
      </c>
      <c r="B8" s="369" t="s">
        <v>636</v>
      </c>
      <c r="C8" s="752">
        <v>0.04</v>
      </c>
      <c r="D8" s="382">
        <f>C9*C10</f>
        <v>592020</v>
      </c>
      <c r="E8" s="548">
        <f>D8*(1+$C$8)</f>
        <v>615700.80000000005</v>
      </c>
      <c r="F8" s="548">
        <f t="shared" ref="F8:H8" si="1">E8*(1+$C$8)</f>
        <v>640328.83200000005</v>
      </c>
      <c r="G8" s="548">
        <f t="shared" si="1"/>
        <v>665941.98528000002</v>
      </c>
      <c r="H8" s="548">
        <f t="shared" si="1"/>
        <v>692579.66469120001</v>
      </c>
    </row>
    <row r="9" spans="1:8" ht="20.100000000000001" customHeight="1">
      <c r="A9" s="368"/>
      <c r="B9" s="369" t="s">
        <v>895</v>
      </c>
      <c r="C9" s="548">
        <v>2574000</v>
      </c>
      <c r="D9" s="371"/>
      <c r="E9" s="548"/>
      <c r="F9" s="371"/>
      <c r="G9" s="371"/>
      <c r="H9" s="373"/>
    </row>
    <row r="10" spans="1:8" ht="20.100000000000001" customHeight="1">
      <c r="A10" s="368"/>
      <c r="B10" s="369" t="s">
        <v>896</v>
      </c>
      <c r="C10" s="752">
        <v>0.23</v>
      </c>
      <c r="D10" s="371"/>
      <c r="E10" s="548"/>
      <c r="F10" s="371"/>
      <c r="G10" s="371"/>
      <c r="H10" s="373"/>
    </row>
    <row r="11" spans="1:8" ht="20.100000000000001" customHeight="1">
      <c r="A11" s="405"/>
      <c r="B11" s="405" t="s">
        <v>228</v>
      </c>
      <c r="C11" s="754">
        <f>SUM(D11:H11)</f>
        <v>3206571.2819712004</v>
      </c>
      <c r="D11" s="754">
        <f t="shared" ref="D11:F11" si="2">D7</f>
        <v>592020</v>
      </c>
      <c r="E11" s="754">
        <f t="shared" si="2"/>
        <v>615700.80000000005</v>
      </c>
      <c r="F11" s="754">
        <f t="shared" si="2"/>
        <v>640328.83200000005</v>
      </c>
      <c r="G11" s="754">
        <f>G7</f>
        <v>665941.98528000002</v>
      </c>
      <c r="H11" s="754">
        <f>H7</f>
        <v>692579.66469120001</v>
      </c>
    </row>
    <row r="12" spans="1:8" ht="6" customHeight="1">
      <c r="A12" s="410"/>
      <c r="B12" s="410"/>
      <c r="C12" s="410"/>
      <c r="D12" s="410"/>
      <c r="E12" s="410"/>
      <c r="F12" s="410"/>
      <c r="G12" s="410"/>
      <c r="H12" s="410"/>
    </row>
    <row r="13" spans="1:8" ht="20.100000000000001" customHeight="1">
      <c r="A13" s="993" t="s">
        <v>229</v>
      </c>
      <c r="B13" s="993"/>
      <c r="C13" s="411"/>
      <c r="D13" s="411"/>
      <c r="E13" s="411"/>
      <c r="F13" s="411"/>
      <c r="G13" s="411"/>
      <c r="H13" s="411"/>
    </row>
    <row r="14" spans="1:8" ht="3" customHeight="1">
      <c r="A14" s="412"/>
      <c r="B14" s="413"/>
      <c r="C14" s="412"/>
      <c r="D14" s="414"/>
      <c r="E14" s="415"/>
      <c r="F14" s="416"/>
      <c r="G14" s="370"/>
      <c r="H14" s="370"/>
    </row>
    <row r="15" spans="1:8">
      <c r="A15" s="417"/>
      <c r="B15" s="417" t="s">
        <v>230</v>
      </c>
      <c r="C15" s="418"/>
      <c r="D15" s="419"/>
      <c r="E15" s="420"/>
      <c r="F15" s="421"/>
      <c r="G15" s="422"/>
      <c r="H15" s="423">
        <v>0.81789999999999996</v>
      </c>
    </row>
    <row r="16" spans="1:8">
      <c r="A16" s="417"/>
      <c r="B16" s="417" t="s">
        <v>231</v>
      </c>
      <c r="C16" s="418"/>
      <c r="D16" s="419"/>
      <c r="E16" s="420"/>
      <c r="F16" s="421"/>
      <c r="G16" s="422"/>
      <c r="H16" s="423">
        <v>0.2</v>
      </c>
    </row>
    <row r="17" spans="1:8">
      <c r="A17" s="424"/>
      <c r="B17" s="424" t="s">
        <v>232</v>
      </c>
      <c r="C17" s="424"/>
      <c r="D17" s="419"/>
      <c r="E17" s="420"/>
      <c r="F17" s="421"/>
      <c r="G17" s="422"/>
      <c r="H17" s="423">
        <v>0.1729</v>
      </c>
    </row>
    <row r="18" spans="1:8">
      <c r="A18" s="424"/>
      <c r="B18" s="424" t="s">
        <v>233</v>
      </c>
      <c r="C18" s="424"/>
      <c r="D18" s="419"/>
      <c r="E18" s="420"/>
      <c r="F18" s="421"/>
      <c r="G18" s="422"/>
      <c r="H18" s="423">
        <v>8.7599999999999997E-2</v>
      </c>
    </row>
    <row r="19" spans="1:8">
      <c r="A19" s="424"/>
      <c r="B19" s="424" t="s">
        <v>234</v>
      </c>
      <c r="C19" s="424"/>
      <c r="D19" s="419"/>
      <c r="E19" s="420"/>
      <c r="F19" s="421"/>
      <c r="G19" s="422"/>
      <c r="H19" s="423">
        <f>(1/(1-(C21+C22+C23)))-1</f>
        <v>0.16618075801749277</v>
      </c>
    </row>
    <row r="20" spans="1:8">
      <c r="A20" s="425"/>
      <c r="B20" s="425" t="s">
        <v>235</v>
      </c>
      <c r="C20" s="417"/>
      <c r="D20" s="419"/>
      <c r="E20" s="420"/>
      <c r="F20" s="421"/>
      <c r="G20" s="422"/>
      <c r="H20" s="423"/>
    </row>
    <row r="21" spans="1:8">
      <c r="A21" s="417"/>
      <c r="B21" s="417" t="s">
        <v>236</v>
      </c>
      <c r="C21" s="426">
        <v>1.6500000000000001E-2</v>
      </c>
      <c r="D21" s="419"/>
      <c r="E21" s="420"/>
      <c r="F21" s="421"/>
      <c r="G21" s="422"/>
      <c r="H21" s="427"/>
    </row>
    <row r="22" spans="1:8">
      <c r="A22" s="417"/>
      <c r="B22" s="417" t="s">
        <v>237</v>
      </c>
      <c r="C22" s="426">
        <v>7.5999999999999998E-2</v>
      </c>
      <c r="D22" s="419"/>
      <c r="E22" s="420"/>
      <c r="F22" s="421"/>
      <c r="G22" s="422"/>
      <c r="H22" s="427"/>
    </row>
    <row r="23" spans="1:8">
      <c r="A23" s="417"/>
      <c r="B23" s="417" t="s">
        <v>238</v>
      </c>
      <c r="C23" s="426">
        <v>0.05</v>
      </c>
      <c r="D23" s="419"/>
      <c r="E23" s="420"/>
      <c r="F23" s="421"/>
      <c r="G23" s="422"/>
      <c r="H23" s="427"/>
    </row>
    <row r="24" spans="1:8" ht="3" customHeight="1">
      <c r="A24" s="412"/>
      <c r="B24" s="428"/>
      <c r="C24" s="429"/>
      <c r="D24" s="430"/>
      <c r="E24" s="415"/>
      <c r="F24" s="428"/>
      <c r="G24" s="370"/>
      <c r="H24" s="414"/>
    </row>
    <row r="25" spans="1:8">
      <c r="A25" s="431" t="s">
        <v>239</v>
      </c>
      <c r="B25" s="432" t="str">
        <f>B7</f>
        <v>EQUIPE TÉCNICA PERMANENTE</v>
      </c>
      <c r="C25" s="994" t="s">
        <v>240</v>
      </c>
      <c r="D25" s="994"/>
      <c r="E25" s="994"/>
      <c r="F25" s="433"/>
      <c r="G25" s="434"/>
      <c r="H25" s="435">
        <f>(1+H15+H17)*(1+H18)*(1+H19)</f>
        <v>2.5250076734693874</v>
      </c>
    </row>
    <row r="26" spans="1:8">
      <c r="A26" s="431" t="s">
        <v>241</v>
      </c>
      <c r="B26" s="432" t="e">
        <f>#REF!</f>
        <v>#REF!</v>
      </c>
      <c r="C26" s="994" t="s">
        <v>242</v>
      </c>
      <c r="D26" s="994"/>
      <c r="E26" s="994"/>
      <c r="F26" s="433"/>
      <c r="G26" s="436"/>
      <c r="H26" s="437">
        <f>(1+H16+H17)*(1+H18)*(1+H19)</f>
        <v>1.7413015043731779</v>
      </c>
    </row>
    <row r="27" spans="1:8">
      <c r="A27" s="431" t="s">
        <v>243</v>
      </c>
      <c r="B27" s="432" t="e">
        <f>#REF!</f>
        <v>#REF!</v>
      </c>
      <c r="C27" s="994" t="s">
        <v>244</v>
      </c>
      <c r="D27" s="994"/>
      <c r="E27" s="994"/>
      <c r="F27" s="433"/>
      <c r="G27" s="436"/>
      <c r="H27" s="437">
        <f>(1+H17)*(1+H18)*(1+H19)</f>
        <v>1.487633865889213</v>
      </c>
    </row>
    <row r="28" spans="1:8">
      <c r="A28" s="431" t="s">
        <v>245</v>
      </c>
      <c r="B28" s="432" t="e">
        <f>#REF!</f>
        <v>#REF!</v>
      </c>
      <c r="C28" s="994" t="s">
        <v>246</v>
      </c>
      <c r="D28" s="994"/>
      <c r="E28" s="994"/>
      <c r="F28" s="433"/>
      <c r="G28" s="436"/>
      <c r="H28" s="437">
        <f>(1+H18)*(1+H19)</f>
        <v>1.2683381924198249</v>
      </c>
    </row>
    <row r="29" spans="1:8" ht="15" customHeight="1">
      <c r="A29" s="346" t="s">
        <v>247</v>
      </c>
    </row>
    <row r="30" spans="1:8" ht="30" customHeight="1">
      <c r="A30" s="349" t="s">
        <v>248</v>
      </c>
      <c r="B30" s="992" t="s">
        <v>249</v>
      </c>
      <c r="C30" s="992"/>
      <c r="D30" s="992"/>
      <c r="E30" s="992"/>
      <c r="F30" s="992"/>
      <c r="G30" s="992"/>
      <c r="H30" s="350"/>
    </row>
    <row r="31" spans="1:8" ht="30" customHeight="1">
      <c r="A31" s="349" t="s">
        <v>250</v>
      </c>
      <c r="B31" s="992" t="s">
        <v>251</v>
      </c>
      <c r="C31" s="992"/>
      <c r="D31" s="992"/>
      <c r="E31" s="992"/>
      <c r="F31" s="992"/>
      <c r="G31" s="992"/>
      <c r="H31" s="350"/>
    </row>
    <row r="32" spans="1:8" ht="14.25" customHeight="1">
      <c r="A32" s="349" t="s">
        <v>252</v>
      </c>
      <c r="B32" s="992" t="s">
        <v>253</v>
      </c>
      <c r="C32" s="992"/>
      <c r="D32" s="992"/>
      <c r="E32" s="992"/>
      <c r="F32" s="992"/>
      <c r="G32" s="992"/>
      <c r="H32" s="350"/>
    </row>
    <row r="33" spans="1:11" ht="9.9499999999999993" customHeight="1">
      <c r="A33" s="351"/>
      <c r="B33" s="351"/>
      <c r="C33" s="351"/>
      <c r="D33" s="351"/>
      <c r="E33" s="351"/>
      <c r="F33" s="351"/>
      <c r="G33" s="351"/>
      <c r="H33" s="351"/>
      <c r="J33" s="438"/>
      <c r="K33" s="438"/>
    </row>
    <row r="36" spans="1:11">
      <c r="D36" s="439"/>
    </row>
    <row r="37" spans="1:11">
      <c r="A37" s="439"/>
      <c r="B37" s="439"/>
      <c r="D37" s="439"/>
    </row>
    <row r="38" spans="1:11">
      <c r="D38" s="352"/>
    </row>
    <row r="39" spans="1:11">
      <c r="D39" s="439"/>
    </row>
    <row r="40" spans="1:11">
      <c r="A40" s="440"/>
      <c r="B40" s="351"/>
      <c r="C40" s="357"/>
      <c r="D40" s="439"/>
      <c r="E40" s="357"/>
      <c r="F40" s="357"/>
      <c r="G40" s="357"/>
      <c r="H40" s="357"/>
      <c r="I40" s="354"/>
    </row>
  </sheetData>
  <mergeCells count="12">
    <mergeCell ref="B32:G32"/>
    <mergeCell ref="A13:B13"/>
    <mergeCell ref="C25:E25"/>
    <mergeCell ref="C26:E26"/>
    <mergeCell ref="C27:E27"/>
    <mergeCell ref="C28:E28"/>
    <mergeCell ref="B30:G30"/>
    <mergeCell ref="A1:H1"/>
    <mergeCell ref="B2:F2"/>
    <mergeCell ref="A5:A6"/>
    <mergeCell ref="B5:B6"/>
    <mergeCell ref="B31:G31"/>
  </mergeCells>
  <printOptions horizontalCentered="1"/>
  <pageMargins left="0.51181102362204722" right="0.51181102362204722" top="0.78740157480314965" bottom="0.78740157480314965" header="0.31496062992125984" footer="0.31496062992125984"/>
  <pageSetup paperSize="9" scale="40" fitToHeight="0" orientation="portrait" r:id="rId1"/>
  <headerFooter>
    <oddFooter>&amp;L&amp;F&amp;C&amp;A&amp;R&amp;P/&amp;N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I55"/>
  <sheetViews>
    <sheetView workbookViewId="0">
      <selection activeCell="E40" sqref="E40"/>
    </sheetView>
  </sheetViews>
  <sheetFormatPr defaultRowHeight="15.75"/>
  <cols>
    <col min="1" max="1" width="9.125" style="175" bestFit="1" customWidth="1"/>
    <col min="2" max="2" width="49.875" style="175" bestFit="1" customWidth="1"/>
    <col min="3" max="3" width="10.625" style="175" bestFit="1" customWidth="1"/>
    <col min="4" max="4" width="10.625" style="175" customWidth="1"/>
    <col min="5" max="5" width="12.625" style="175" customWidth="1"/>
    <col min="6" max="6" width="11.125" style="175" customWidth="1"/>
    <col min="7" max="7" width="12.375" style="175" bestFit="1" customWidth="1"/>
    <col min="8" max="8" width="10.375" style="175" bestFit="1" customWidth="1"/>
    <col min="9" max="12" width="11.125" style="175" customWidth="1"/>
    <col min="13" max="16384" width="9" style="175"/>
  </cols>
  <sheetData>
    <row r="1" spans="1:9" s="174" customFormat="1" ht="39.950000000000003" customHeight="1">
      <c r="A1" s="173"/>
      <c r="B1" s="982" t="s">
        <v>799</v>
      </c>
      <c r="C1" s="982"/>
      <c r="D1" s="982"/>
      <c r="E1" s="982"/>
      <c r="F1" s="982"/>
      <c r="G1" s="982"/>
      <c r="H1" s="173"/>
    </row>
    <row r="2" spans="1:9" ht="9.9499999999999993" customHeight="1">
      <c r="F2" s="176"/>
      <c r="G2" s="177"/>
    </row>
    <row r="3" spans="1:9" ht="15.6" customHeight="1">
      <c r="A3" s="179"/>
      <c r="B3" s="180"/>
      <c r="C3" s="181"/>
      <c r="D3" s="181"/>
      <c r="E3" s="181"/>
      <c r="G3" s="182" t="s">
        <v>210</v>
      </c>
      <c r="H3" s="625">
        <v>44146</v>
      </c>
    </row>
    <row r="4" spans="1:9" ht="9.9499999999999993" customHeight="1">
      <c r="F4" s="176"/>
      <c r="G4" s="177"/>
    </row>
    <row r="5" spans="1:9" ht="15" customHeight="1">
      <c r="A5" s="977" t="s">
        <v>285</v>
      </c>
      <c r="B5" s="983" t="s">
        <v>211</v>
      </c>
      <c r="C5" s="984" t="s">
        <v>212</v>
      </c>
      <c r="D5" s="985"/>
      <c r="E5" s="183" t="s">
        <v>213</v>
      </c>
      <c r="F5" s="986" t="s">
        <v>214</v>
      </c>
      <c r="G5" s="986" t="s">
        <v>215</v>
      </c>
      <c r="H5" s="976" t="s">
        <v>216</v>
      </c>
    </row>
    <row r="6" spans="1:9" ht="15" customHeight="1">
      <c r="A6" s="977"/>
      <c r="B6" s="983"/>
      <c r="C6" s="184" t="s">
        <v>217</v>
      </c>
      <c r="D6" s="185" t="s">
        <v>218</v>
      </c>
      <c r="E6" s="186" t="s">
        <v>219</v>
      </c>
      <c r="F6" s="986"/>
      <c r="G6" s="987"/>
      <c r="H6" s="976"/>
    </row>
    <row r="7" spans="1:9" ht="20.100000000000001" customHeight="1">
      <c r="A7" s="187">
        <v>1</v>
      </c>
      <c r="B7" s="188" t="s">
        <v>332</v>
      </c>
      <c r="C7" s="189"/>
      <c r="D7" s="190"/>
      <c r="E7" s="190"/>
      <c r="F7" s="189"/>
      <c r="G7" s="191">
        <f>SUM(G8:G9)</f>
        <v>44234.036848981392</v>
      </c>
      <c r="H7" s="192">
        <f>SUM(H8:H9)</f>
        <v>0.6445029974713592</v>
      </c>
    </row>
    <row r="8" spans="1:9" ht="20.100000000000001" customHeight="1">
      <c r="A8" s="193" t="s">
        <v>331</v>
      </c>
      <c r="B8" s="194" t="s">
        <v>183</v>
      </c>
      <c r="C8" s="195">
        <f>'Escola de projetos'!C13</f>
        <v>9500</v>
      </c>
      <c r="D8" s="196">
        <f>C8/'Dias trabalhados'!$C$15</f>
        <v>57.212831734050674</v>
      </c>
      <c r="E8" s="197">
        <f>5*80</f>
        <v>400</v>
      </c>
      <c r="F8" s="196">
        <f>D8*E8</f>
        <v>22885.132693620271</v>
      </c>
      <c r="G8" s="196">
        <f>F8*$H$39</f>
        <v>44234.036848981392</v>
      </c>
      <c r="H8" s="198">
        <f>G8/$G$25</f>
        <v>0.6445029974713592</v>
      </c>
    </row>
    <row r="9" spans="1:9" ht="20.100000000000001" customHeight="1">
      <c r="A9" s="193" t="s">
        <v>331</v>
      </c>
      <c r="B9" s="194" t="s">
        <v>333</v>
      </c>
      <c r="C9" s="195">
        <f>'Escola de projetos'!$C$23</f>
        <v>1440</v>
      </c>
      <c r="D9" s="196">
        <f>C9/120</f>
        <v>12</v>
      </c>
      <c r="E9" s="197">
        <f>5*0</f>
        <v>0</v>
      </c>
      <c r="F9" s="196">
        <f>D9*E9</f>
        <v>0</v>
      </c>
      <c r="G9" s="196">
        <f>F9*$H$39</f>
        <v>0</v>
      </c>
      <c r="H9" s="198">
        <f>G9/$G$25</f>
        <v>0</v>
      </c>
    </row>
    <row r="10" spans="1:9" ht="20.100000000000001" customHeight="1">
      <c r="A10" s="193" t="s">
        <v>331</v>
      </c>
      <c r="B10" s="194" t="s">
        <v>333</v>
      </c>
      <c r="C10" s="195">
        <f>'Escola de projetos'!$C$23</f>
        <v>1440</v>
      </c>
      <c r="D10" s="196">
        <f>C10/120</f>
        <v>12</v>
      </c>
      <c r="E10" s="197">
        <f>5*0</f>
        <v>0</v>
      </c>
      <c r="F10" s="196">
        <f t="shared" ref="F10:F12" si="0">D10*E10</f>
        <v>0</v>
      </c>
      <c r="G10" s="196">
        <f t="shared" ref="G10:G12" si="1">F10*$H$39</f>
        <v>0</v>
      </c>
      <c r="H10" s="198">
        <f t="shared" ref="H10:H12" si="2">G10/$G$25</f>
        <v>0</v>
      </c>
    </row>
    <row r="11" spans="1:9" ht="20.100000000000001" customHeight="1">
      <c r="A11" s="193" t="s">
        <v>331</v>
      </c>
      <c r="B11" s="194" t="s">
        <v>333</v>
      </c>
      <c r="C11" s="195">
        <f>'Escola de projetos'!$C$23</f>
        <v>1440</v>
      </c>
      <c r="D11" s="196">
        <f t="shared" ref="D11:D12" si="3">C11/120</f>
        <v>12</v>
      </c>
      <c r="E11" s="197">
        <f t="shared" ref="E11:E12" si="4">5*120</f>
        <v>600</v>
      </c>
      <c r="F11" s="196">
        <f t="shared" si="0"/>
        <v>7200</v>
      </c>
      <c r="G11" s="196">
        <f t="shared" si="1"/>
        <v>13916.679862706265</v>
      </c>
      <c r="H11" s="198">
        <f t="shared" si="2"/>
        <v>0.20277014094339968</v>
      </c>
    </row>
    <row r="12" spans="1:9" ht="20.100000000000001" customHeight="1">
      <c r="A12" s="193" t="s">
        <v>331</v>
      </c>
      <c r="B12" s="194" t="s">
        <v>333</v>
      </c>
      <c r="C12" s="195">
        <f>'Escola de projetos'!$C$23</f>
        <v>1440</v>
      </c>
      <c r="D12" s="196">
        <f t="shared" si="3"/>
        <v>12</v>
      </c>
      <c r="E12" s="197">
        <f t="shared" si="4"/>
        <v>600</v>
      </c>
      <c r="F12" s="196">
        <f t="shared" si="0"/>
        <v>7200</v>
      </c>
      <c r="G12" s="196">
        <f t="shared" si="1"/>
        <v>13916.679862706265</v>
      </c>
      <c r="H12" s="198">
        <f t="shared" si="2"/>
        <v>0.20277014094339968</v>
      </c>
    </row>
    <row r="13" spans="1:9" ht="20.100000000000001" customHeight="1">
      <c r="A13" s="193"/>
      <c r="B13" s="194"/>
      <c r="C13" s="195"/>
      <c r="D13" s="196"/>
      <c r="E13" s="197"/>
      <c r="F13" s="196"/>
      <c r="G13" s="196"/>
      <c r="H13" s="198"/>
    </row>
    <row r="14" spans="1:9" ht="6" customHeight="1">
      <c r="A14" s="193"/>
      <c r="B14" s="199"/>
      <c r="C14" s="195"/>
      <c r="D14" s="193"/>
      <c r="E14" s="195"/>
      <c r="F14" s="196"/>
      <c r="G14" s="200"/>
      <c r="H14" s="201"/>
      <c r="I14" s="202"/>
    </row>
    <row r="15" spans="1:9" ht="15" customHeight="1">
      <c r="A15" s="977" t="s">
        <v>285</v>
      </c>
      <c r="B15" s="978" t="s">
        <v>211</v>
      </c>
      <c r="C15" s="979" t="s">
        <v>224</v>
      </c>
      <c r="D15" s="204" t="s">
        <v>170</v>
      </c>
      <c r="E15" s="205" t="s">
        <v>169</v>
      </c>
      <c r="F15" s="204" t="s">
        <v>225</v>
      </c>
      <c r="G15" s="980" t="s">
        <v>226</v>
      </c>
      <c r="H15" s="981" t="s">
        <v>216</v>
      </c>
    </row>
    <row r="16" spans="1:9" ht="15" customHeight="1">
      <c r="A16" s="977"/>
      <c r="B16" s="978"/>
      <c r="C16" s="979"/>
      <c r="D16" s="206" t="s">
        <v>63</v>
      </c>
      <c r="E16" s="206" t="s">
        <v>173</v>
      </c>
      <c r="F16" s="207" t="s">
        <v>173</v>
      </c>
      <c r="G16" s="979"/>
      <c r="H16" s="981"/>
    </row>
    <row r="17" spans="1:8" ht="20.100000000000001" customHeight="1">
      <c r="A17" s="187">
        <v>4</v>
      </c>
      <c r="B17" s="188" t="s">
        <v>227</v>
      </c>
      <c r="C17" s="189"/>
      <c r="D17" s="190"/>
      <c r="E17" s="190"/>
      <c r="F17" s="189"/>
      <c r="G17" s="191">
        <f>SUM(G18:G24)</f>
        <v>24398.75</v>
      </c>
      <c r="H17" s="192">
        <f>SUM(H18:H24)</f>
        <v>0.35549700252864069</v>
      </c>
    </row>
    <row r="18" spans="1:8" ht="20.100000000000001" customHeight="1">
      <c r="A18" s="193" t="s">
        <v>330</v>
      </c>
      <c r="B18" s="208" t="s">
        <v>276</v>
      </c>
      <c r="C18" s="196" t="s">
        <v>277</v>
      </c>
      <c r="D18" s="203">
        <v>3</v>
      </c>
      <c r="E18" s="209">
        <v>3366.25</v>
      </c>
      <c r="F18" s="209">
        <f t="shared" ref="F18:F24" si="5">D18*E18</f>
        <v>10098.75</v>
      </c>
      <c r="G18" s="209">
        <f t="shared" ref="G18:G24" si="6">F18*$H$42</f>
        <v>10098.75</v>
      </c>
      <c r="H18" s="198">
        <f>G18/$G$25</f>
        <v>0.14714177383210658</v>
      </c>
    </row>
    <row r="19" spans="1:8" ht="20.100000000000001" customHeight="1">
      <c r="A19" s="193" t="s">
        <v>330</v>
      </c>
      <c r="B19" s="208" t="s">
        <v>278</v>
      </c>
      <c r="C19" s="196" t="s">
        <v>284</v>
      </c>
      <c r="D19" s="203">
        <v>10</v>
      </c>
      <c r="E19" s="209">
        <v>10</v>
      </c>
      <c r="F19" s="209">
        <f t="shared" si="5"/>
        <v>100</v>
      </c>
      <c r="G19" s="209">
        <f t="shared" si="6"/>
        <v>100</v>
      </c>
      <c r="H19" s="198">
        <f t="shared" ref="H19:H24" si="7">G19/$G$25</f>
        <v>1.4570295713044346E-3</v>
      </c>
    </row>
    <row r="20" spans="1:8" ht="20.100000000000001" customHeight="1">
      <c r="A20" s="193" t="s">
        <v>330</v>
      </c>
      <c r="B20" s="208" t="s">
        <v>279</v>
      </c>
      <c r="C20" s="196" t="s">
        <v>63</v>
      </c>
      <c r="D20" s="203">
        <v>100</v>
      </c>
      <c r="E20" s="209">
        <v>0.25</v>
      </c>
      <c r="F20" s="209">
        <f t="shared" si="5"/>
        <v>25</v>
      </c>
      <c r="G20" s="209">
        <f t="shared" si="6"/>
        <v>25</v>
      </c>
      <c r="H20" s="198">
        <f t="shared" si="7"/>
        <v>3.6425739282610866E-4</v>
      </c>
    </row>
    <row r="21" spans="1:8" ht="20.100000000000001" customHeight="1">
      <c r="A21" s="193" t="s">
        <v>330</v>
      </c>
      <c r="B21" s="208" t="s">
        <v>281</v>
      </c>
      <c r="C21" s="196" t="s">
        <v>63</v>
      </c>
      <c r="D21" s="203">
        <v>1</v>
      </c>
      <c r="E21" s="209">
        <v>15</v>
      </c>
      <c r="F21" s="209">
        <f t="shared" si="5"/>
        <v>15</v>
      </c>
      <c r="G21" s="209">
        <f t="shared" si="6"/>
        <v>15</v>
      </c>
      <c r="H21" s="198">
        <f t="shared" si="7"/>
        <v>2.1855443569566518E-4</v>
      </c>
    </row>
    <row r="22" spans="1:8" ht="20.100000000000001" customHeight="1">
      <c r="A22" s="193" t="s">
        <v>330</v>
      </c>
      <c r="B22" s="208" t="s">
        <v>280</v>
      </c>
      <c r="C22" s="196" t="s">
        <v>63</v>
      </c>
      <c r="D22" s="203">
        <v>0</v>
      </c>
      <c r="E22" s="209">
        <v>150</v>
      </c>
      <c r="F22" s="209">
        <f t="shared" si="5"/>
        <v>0</v>
      </c>
      <c r="G22" s="209">
        <f t="shared" si="6"/>
        <v>0</v>
      </c>
      <c r="H22" s="198">
        <f t="shared" si="7"/>
        <v>0</v>
      </c>
    </row>
    <row r="23" spans="1:8" ht="20.100000000000001" customHeight="1">
      <c r="A23" s="193" t="s">
        <v>330</v>
      </c>
      <c r="B23" s="208" t="s">
        <v>282</v>
      </c>
      <c r="C23" s="196" t="s">
        <v>63</v>
      </c>
      <c r="D23" s="203">
        <f>4*12</f>
        <v>48</v>
      </c>
      <c r="E23" s="209">
        <v>20</v>
      </c>
      <c r="F23" s="209">
        <f t="shared" si="5"/>
        <v>960</v>
      </c>
      <c r="G23" s="209">
        <f t="shared" si="6"/>
        <v>960</v>
      </c>
      <c r="H23" s="198">
        <f t="shared" si="7"/>
        <v>1.3987483884522572E-2</v>
      </c>
    </row>
    <row r="24" spans="1:8" ht="20.100000000000001" customHeight="1">
      <c r="A24" s="193" t="s">
        <v>330</v>
      </c>
      <c r="B24" s="208" t="s">
        <v>283</v>
      </c>
      <c r="C24" s="196" t="s">
        <v>63</v>
      </c>
      <c r="D24" s="203">
        <f>5*12</f>
        <v>60</v>
      </c>
      <c r="E24" s="209">
        <v>220</v>
      </c>
      <c r="F24" s="209">
        <f t="shared" si="5"/>
        <v>13200</v>
      </c>
      <c r="G24" s="209">
        <f t="shared" si="6"/>
        <v>13200</v>
      </c>
      <c r="H24" s="198">
        <f t="shared" si="7"/>
        <v>0.19232790341218536</v>
      </c>
    </row>
    <row r="25" spans="1:8" ht="20.100000000000001" customHeight="1">
      <c r="A25" s="242"/>
      <c r="B25" s="168" t="s">
        <v>228</v>
      </c>
      <c r="C25" s="168"/>
      <c r="D25" s="168"/>
      <c r="E25" s="169"/>
      <c r="F25" s="170"/>
      <c r="G25" s="171">
        <f>G7+G17</f>
        <v>68632.786848981399</v>
      </c>
      <c r="H25" s="172">
        <f>H7+H17</f>
        <v>0.99999999999999989</v>
      </c>
    </row>
    <row r="26" spans="1:8" ht="6" customHeight="1">
      <c r="A26" s="210"/>
      <c r="B26" s="210"/>
      <c r="C26" s="210"/>
      <c r="D26" s="210"/>
      <c r="E26" s="210"/>
      <c r="F26" s="210"/>
      <c r="G26" s="210"/>
      <c r="H26" s="210"/>
    </row>
    <row r="27" spans="1:8" ht="20.100000000000001" customHeight="1">
      <c r="A27" s="974" t="s">
        <v>229</v>
      </c>
      <c r="B27" s="974"/>
      <c r="C27" s="211"/>
      <c r="D27" s="211"/>
      <c r="E27" s="211"/>
      <c r="F27" s="211"/>
      <c r="G27" s="211"/>
      <c r="H27" s="211"/>
    </row>
    <row r="28" spans="1:8" ht="3" customHeight="1">
      <c r="A28" s="212"/>
      <c r="B28" s="213"/>
      <c r="C28" s="212"/>
      <c r="D28" s="214"/>
      <c r="E28" s="215"/>
      <c r="F28" s="216"/>
      <c r="G28" s="195"/>
      <c r="H28" s="195"/>
    </row>
    <row r="29" spans="1:8">
      <c r="A29" s="217"/>
      <c r="B29" s="217" t="s">
        <v>230</v>
      </c>
      <c r="C29" s="218"/>
      <c r="D29" s="219"/>
      <c r="E29" s="220"/>
      <c r="F29" s="221"/>
      <c r="G29" s="222"/>
      <c r="H29" s="223">
        <f>'Encargos sociais e benefícios'!C74/100</f>
        <v>0.93287220315364805</v>
      </c>
    </row>
    <row r="30" spans="1:8">
      <c r="A30" s="217"/>
      <c r="B30" s="217" t="s">
        <v>231</v>
      </c>
      <c r="C30" s="218"/>
      <c r="D30" s="219"/>
      <c r="E30" s="220"/>
      <c r="F30" s="221"/>
      <c r="G30" s="222"/>
      <c r="H30" s="223">
        <v>0</v>
      </c>
    </row>
    <row r="31" spans="1:8">
      <c r="A31" s="224"/>
      <c r="B31" s="224" t="s">
        <v>232</v>
      </c>
      <c r="C31" s="224"/>
      <c r="D31" s="219"/>
      <c r="E31" s="220"/>
      <c r="F31" s="221"/>
      <c r="G31" s="222"/>
      <c r="H31" s="223">
        <v>0</v>
      </c>
    </row>
    <row r="32" spans="1:8">
      <c r="A32" s="224"/>
      <c r="B32" s="224" t="s">
        <v>233</v>
      </c>
      <c r="C32" s="224"/>
      <c r="D32" s="219"/>
      <c r="E32" s="220"/>
      <c r="F32" s="221"/>
      <c r="G32" s="222"/>
      <c r="H32" s="223">
        <v>0</v>
      </c>
    </row>
    <row r="33" spans="1:8">
      <c r="A33" s="224"/>
      <c r="B33" s="224" t="s">
        <v>234</v>
      </c>
      <c r="C33" s="224"/>
      <c r="D33" s="219"/>
      <c r="E33" s="220"/>
      <c r="F33" s="221"/>
      <c r="G33" s="222"/>
      <c r="H33" s="223">
        <v>0</v>
      </c>
    </row>
    <row r="34" spans="1:8">
      <c r="A34" s="225"/>
      <c r="B34" s="225" t="s">
        <v>235</v>
      </c>
      <c r="C34" s="217"/>
      <c r="D34" s="219"/>
      <c r="E34" s="220"/>
      <c r="F34" s="221"/>
      <c r="G34" s="222"/>
      <c r="H34" s="223"/>
    </row>
    <row r="35" spans="1:8">
      <c r="A35" s="217"/>
      <c r="B35" s="217" t="s">
        <v>236</v>
      </c>
      <c r="C35" s="226">
        <v>1.6500000000000001E-2</v>
      </c>
      <c r="D35" s="219"/>
      <c r="E35" s="220"/>
      <c r="F35" s="221"/>
      <c r="G35" s="222"/>
      <c r="H35" s="227"/>
    </row>
    <row r="36" spans="1:8">
      <c r="A36" s="217"/>
      <c r="B36" s="217" t="s">
        <v>237</v>
      </c>
      <c r="C36" s="226">
        <v>7.5999999999999998E-2</v>
      </c>
      <c r="D36" s="219"/>
      <c r="E36" s="220"/>
      <c r="F36" s="221"/>
      <c r="G36" s="222"/>
      <c r="H36" s="227"/>
    </row>
    <row r="37" spans="1:8">
      <c r="A37" s="217"/>
      <c r="B37" s="217" t="s">
        <v>238</v>
      </c>
      <c r="C37" s="226">
        <v>0.05</v>
      </c>
      <c r="D37" s="219"/>
      <c r="E37" s="220"/>
      <c r="F37" s="221"/>
      <c r="G37" s="222"/>
      <c r="H37" s="227"/>
    </row>
    <row r="38" spans="1:8" ht="3" customHeight="1">
      <c r="A38" s="212"/>
      <c r="B38" s="228"/>
      <c r="C38" s="229"/>
      <c r="D38" s="230"/>
      <c r="E38" s="215"/>
      <c r="F38" s="228"/>
      <c r="G38" s="195"/>
      <c r="H38" s="214"/>
    </row>
    <row r="39" spans="1:8">
      <c r="A39" s="231" t="s">
        <v>239</v>
      </c>
      <c r="B39" s="232" t="str">
        <f>B7</f>
        <v>EQUIPE TÉCNICA PERMANENTE - ESCOLA DE PROJETOS</v>
      </c>
      <c r="C39" s="975" t="s">
        <v>240</v>
      </c>
      <c r="D39" s="975"/>
      <c r="E39" s="975"/>
      <c r="F39" s="233"/>
      <c r="G39" s="234"/>
      <c r="H39" s="235">
        <f>(1+H29+H31)*(1+H32)*(1+H33)</f>
        <v>1.932872203153648</v>
      </c>
    </row>
    <row r="40" spans="1:8">
      <c r="A40" s="231" t="s">
        <v>241</v>
      </c>
      <c r="B40" s="232" t="e">
        <f>#REF!</f>
        <v>#REF!</v>
      </c>
      <c r="C40" s="975" t="s">
        <v>242</v>
      </c>
      <c r="D40" s="975"/>
      <c r="E40" s="975"/>
      <c r="F40" s="233"/>
      <c r="G40" s="236"/>
      <c r="H40" s="237">
        <f>(1+H30+H31)*(1+H32)*(1+H33)</f>
        <v>1</v>
      </c>
    </row>
    <row r="41" spans="1:8">
      <c r="A41" s="231" t="s">
        <v>243</v>
      </c>
      <c r="B41" s="232" t="e">
        <f>#REF!</f>
        <v>#REF!</v>
      </c>
      <c r="C41" s="975" t="s">
        <v>244</v>
      </c>
      <c r="D41" s="975"/>
      <c r="E41" s="975"/>
      <c r="F41" s="233"/>
      <c r="G41" s="236"/>
      <c r="H41" s="237">
        <f>(1+H31)*(1+H32)*(1+H33)</f>
        <v>1</v>
      </c>
    </row>
    <row r="42" spans="1:8">
      <c r="A42" s="231" t="s">
        <v>245</v>
      </c>
      <c r="B42" s="232" t="str">
        <f>B17</f>
        <v>DESPESAS DIRETAS</v>
      </c>
      <c r="C42" s="975" t="s">
        <v>246</v>
      </c>
      <c r="D42" s="975"/>
      <c r="E42" s="975"/>
      <c r="F42" s="233"/>
      <c r="G42" s="236"/>
      <c r="H42" s="237">
        <f>(1+H32)*(1+H33)</f>
        <v>1</v>
      </c>
    </row>
    <row r="44" spans="1:8" ht="15" customHeight="1">
      <c r="A44" s="251" t="s">
        <v>247</v>
      </c>
    </row>
    <row r="45" spans="1:8" ht="35.1" customHeight="1">
      <c r="A45" s="238" t="s">
        <v>248</v>
      </c>
      <c r="B45" s="973" t="s">
        <v>343</v>
      </c>
      <c r="C45" s="973"/>
      <c r="D45" s="973"/>
      <c r="E45" s="973"/>
      <c r="F45" s="973"/>
      <c r="G45" s="973"/>
      <c r="H45" s="973"/>
    </row>
    <row r="46" spans="1:8" ht="35.1" customHeight="1">
      <c r="A46" s="238" t="s">
        <v>250</v>
      </c>
      <c r="B46" s="973" t="s">
        <v>344</v>
      </c>
      <c r="C46" s="973"/>
      <c r="D46" s="973"/>
      <c r="E46" s="973"/>
      <c r="F46" s="973"/>
      <c r="G46" s="973"/>
      <c r="H46" s="973"/>
    </row>
    <row r="47" spans="1:8" ht="21.75" customHeight="1">
      <c r="A47" s="238" t="s">
        <v>252</v>
      </c>
      <c r="B47" s="973" t="s">
        <v>253</v>
      </c>
      <c r="C47" s="973"/>
      <c r="D47" s="973"/>
      <c r="E47" s="973"/>
      <c r="F47" s="973"/>
      <c r="G47" s="973"/>
      <c r="H47" s="973"/>
    </row>
    <row r="48" spans="1:8" ht="32.25" customHeight="1">
      <c r="A48" s="238" t="s">
        <v>334</v>
      </c>
      <c r="B48" s="973" t="s">
        <v>335</v>
      </c>
      <c r="C48" s="973"/>
      <c r="D48" s="973"/>
      <c r="E48" s="973"/>
      <c r="F48" s="973"/>
      <c r="G48" s="973"/>
      <c r="H48" s="973"/>
    </row>
    <row r="49" spans="1:9" ht="21.75" customHeight="1">
      <c r="A49" s="238" t="s">
        <v>336</v>
      </c>
      <c r="B49" s="973" t="s">
        <v>337</v>
      </c>
      <c r="C49" s="973"/>
      <c r="D49" s="973"/>
      <c r="E49" s="973"/>
      <c r="F49" s="973"/>
      <c r="G49" s="973"/>
      <c r="H49" s="973"/>
    </row>
    <row r="51" spans="1:9">
      <c r="D51" s="178"/>
    </row>
    <row r="52" spans="1:9">
      <c r="A52" s="178"/>
      <c r="B52" s="178"/>
      <c r="D52" s="178"/>
    </row>
    <row r="53" spans="1:9">
      <c r="D53" s="240"/>
    </row>
    <row r="54" spans="1:9">
      <c r="D54" s="178"/>
    </row>
    <row r="55" spans="1:9">
      <c r="A55" s="241"/>
      <c r="B55" s="239"/>
      <c r="C55" s="177"/>
      <c r="D55" s="178"/>
      <c r="E55" s="177"/>
      <c r="F55" s="177"/>
      <c r="G55" s="177"/>
      <c r="H55" s="177"/>
      <c r="I55" s="180"/>
    </row>
  </sheetData>
  <mergeCells count="22">
    <mergeCell ref="B49:H49"/>
    <mergeCell ref="B1:G1"/>
    <mergeCell ref="B45:H45"/>
    <mergeCell ref="B46:H46"/>
    <mergeCell ref="B47:H47"/>
    <mergeCell ref="B48:H48"/>
    <mergeCell ref="A27:B27"/>
    <mergeCell ref="C39:E39"/>
    <mergeCell ref="C40:E40"/>
    <mergeCell ref="C41:E41"/>
    <mergeCell ref="C42:E42"/>
    <mergeCell ref="A15:A16"/>
    <mergeCell ref="B15:B16"/>
    <mergeCell ref="C15:C16"/>
    <mergeCell ref="G15:G16"/>
    <mergeCell ref="H15:H16"/>
    <mergeCell ref="H5:H6"/>
    <mergeCell ref="A5:A6"/>
    <mergeCell ref="B5:B6"/>
    <mergeCell ref="C5:D5"/>
    <mergeCell ref="F5:F6"/>
    <mergeCell ref="G5:G6"/>
  </mergeCells>
  <phoneticPr fontId="16" type="noConversion"/>
  <printOptions horizontalCentered="1"/>
  <pageMargins left="0.51181102362204722" right="0.51181102362204722" top="0.78740157480314965" bottom="0.78740157480314965" header="0.31496062992125984" footer="0.31496062992125984"/>
  <pageSetup paperSize="9" scale="66" fitToHeight="0" orientation="portrait" r:id="rId1"/>
  <headerFooter>
    <oddFooter>&amp;L&amp;F&amp;C&amp;A&amp;R&amp;P/&amp;N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207"/>
  <sheetViews>
    <sheetView showGridLines="0" tabSelected="1" topLeftCell="A174" zoomScaleNormal="100" zoomScaleSheetLayoutView="100" workbookViewId="0">
      <selection activeCell="L187" sqref="L187"/>
    </sheetView>
  </sheetViews>
  <sheetFormatPr defaultRowHeight="15"/>
  <cols>
    <col min="1" max="3" width="11.875" style="130" customWidth="1"/>
    <col min="4" max="4" width="65.125" style="130" customWidth="1"/>
    <col min="5" max="10" width="11.125" style="130" customWidth="1"/>
    <col min="11" max="13" width="9" style="130"/>
    <col min="14" max="14" width="42" style="130" bestFit="1" customWidth="1"/>
    <col min="15" max="16384" width="9" style="130"/>
  </cols>
  <sheetData>
    <row r="1" spans="1:12" s="129" customFormat="1" ht="39.950000000000003" customHeight="1">
      <c r="A1" s="804" t="s">
        <v>891</v>
      </c>
      <c r="B1" s="804"/>
      <c r="C1" s="804"/>
      <c r="D1" s="804"/>
      <c r="E1" s="804"/>
      <c r="F1" s="804"/>
      <c r="G1" s="804"/>
      <c r="H1" s="804"/>
      <c r="I1" s="804"/>
      <c r="J1" s="804"/>
    </row>
    <row r="2" spans="1:12" s="129" customFormat="1" ht="20.100000000000001" customHeight="1">
      <c r="A2" s="745"/>
      <c r="B2" s="745"/>
      <c r="C2" s="745"/>
      <c r="D2" s="745"/>
      <c r="E2" s="745"/>
      <c r="F2" s="745"/>
      <c r="G2" s="745"/>
      <c r="H2" s="745"/>
      <c r="I2" s="745"/>
      <c r="J2" s="745"/>
    </row>
    <row r="3" spans="1:12">
      <c r="A3" s="443" t="s">
        <v>413</v>
      </c>
      <c r="B3" s="443"/>
      <c r="C3" s="443"/>
      <c r="D3" s="443"/>
      <c r="E3" s="744" t="s">
        <v>1</v>
      </c>
      <c r="F3" s="744">
        <v>2021</v>
      </c>
      <c r="G3" s="744">
        <v>2022</v>
      </c>
      <c r="H3" s="744">
        <v>2023</v>
      </c>
      <c r="I3" s="744">
        <v>2024</v>
      </c>
      <c r="J3" s="744">
        <v>2025</v>
      </c>
    </row>
    <row r="4" spans="1:12">
      <c r="A4" s="443"/>
      <c r="B4" s="443"/>
      <c r="C4" s="443"/>
      <c r="D4" s="443"/>
      <c r="E4" s="744" t="s">
        <v>173</v>
      </c>
      <c r="F4" s="744" t="s">
        <v>173</v>
      </c>
      <c r="G4" s="744" t="s">
        <v>173</v>
      </c>
      <c r="H4" s="744" t="s">
        <v>173</v>
      </c>
      <c r="I4" s="744" t="s">
        <v>173</v>
      </c>
      <c r="J4" s="744" t="s">
        <v>173</v>
      </c>
    </row>
    <row r="5" spans="1:12" s="129" customFormat="1" ht="20.100000000000001" customHeight="1">
      <c r="A5" s="822" t="s">
        <v>414</v>
      </c>
      <c r="B5" s="822"/>
      <c r="C5" s="822"/>
      <c r="D5" s="822"/>
      <c r="E5" s="445">
        <f>SUM(F5:J5)</f>
        <v>144649010.75999999</v>
      </c>
      <c r="F5" s="445">
        <v>80177675.760000005</v>
      </c>
      <c r="G5" s="445">
        <v>15274251</v>
      </c>
      <c r="H5" s="445">
        <v>15821890</v>
      </c>
      <c r="I5" s="445">
        <v>16391434</v>
      </c>
      <c r="J5" s="445">
        <v>16983760</v>
      </c>
    </row>
    <row r="6" spans="1:12" ht="5.0999999999999996" customHeight="1"/>
    <row r="7" spans="1:12">
      <c r="A7" s="443" t="s">
        <v>190</v>
      </c>
      <c r="B7" s="443" t="s">
        <v>415</v>
      </c>
      <c r="C7" s="443" t="s">
        <v>416</v>
      </c>
      <c r="D7" s="443" t="s">
        <v>317</v>
      </c>
      <c r="E7" s="744" t="s">
        <v>1</v>
      </c>
      <c r="F7" s="744">
        <v>2021</v>
      </c>
      <c r="G7" s="744">
        <v>2022</v>
      </c>
      <c r="H7" s="744">
        <v>2023</v>
      </c>
      <c r="I7" s="744">
        <v>2024</v>
      </c>
      <c r="J7" s="744">
        <v>2025</v>
      </c>
    </row>
    <row r="8" spans="1:12">
      <c r="A8" s="443"/>
      <c r="B8" s="443"/>
      <c r="C8" s="443"/>
      <c r="D8" s="443"/>
      <c r="E8" s="744" t="s">
        <v>173</v>
      </c>
      <c r="F8" s="744" t="s">
        <v>173</v>
      </c>
      <c r="G8" s="744" t="s">
        <v>173</v>
      </c>
      <c r="H8" s="744" t="s">
        <v>173</v>
      </c>
      <c r="I8" s="744" t="s">
        <v>173</v>
      </c>
      <c r="J8" s="744" t="s">
        <v>173</v>
      </c>
    </row>
    <row r="9" spans="1:12" ht="5.0999999999999996" customHeight="1"/>
    <row r="10" spans="1:12" ht="20.100000000000001" customHeight="1">
      <c r="A10" s="446">
        <v>1</v>
      </c>
      <c r="B10" s="447" t="str">
        <f>B17</f>
        <v>GESTÃO DE RECURSOS HÍDRICOS</v>
      </c>
      <c r="C10" s="447"/>
      <c r="D10" s="447"/>
      <c r="E10" s="448">
        <f>E17</f>
        <v>58865000</v>
      </c>
      <c r="F10" s="448">
        <f t="shared" ref="F10:J10" si="0">F17</f>
        <v>6105000</v>
      </c>
      <c r="G10" s="448">
        <f t="shared" si="0"/>
        <v>4375000</v>
      </c>
      <c r="H10" s="448">
        <f t="shared" si="0"/>
        <v>40625000</v>
      </c>
      <c r="I10" s="448">
        <f t="shared" si="0"/>
        <v>3800000</v>
      </c>
      <c r="J10" s="448">
        <f t="shared" si="0"/>
        <v>3960000</v>
      </c>
    </row>
    <row r="11" spans="1:12" ht="20.100000000000001" customHeight="1">
      <c r="A11" s="449">
        <v>2</v>
      </c>
      <c r="B11" s="450" t="str">
        <f>B126</f>
        <v>AGENDA SETORIAL</v>
      </c>
      <c r="C11" s="451"/>
      <c r="D11" s="451"/>
      <c r="E11" s="452">
        <f>E126</f>
        <v>72000000</v>
      </c>
      <c r="F11" s="452">
        <f t="shared" ref="F11:J11" si="1">F126</f>
        <v>32740000</v>
      </c>
      <c r="G11" s="452">
        <f t="shared" si="1"/>
        <v>21660000</v>
      </c>
      <c r="H11" s="452">
        <f t="shared" si="1"/>
        <v>5910000</v>
      </c>
      <c r="I11" s="452">
        <f t="shared" si="1"/>
        <v>6190000</v>
      </c>
      <c r="J11" s="452">
        <f t="shared" si="1"/>
        <v>5500000</v>
      </c>
    </row>
    <row r="12" spans="1:12" ht="20.100000000000001" customHeight="1">
      <c r="A12" s="453">
        <v>3</v>
      </c>
      <c r="B12" s="454" t="str">
        <f>B175</f>
        <v>APOIO AO COMITÊ DE BACIA HIDROGRÁFICA</v>
      </c>
      <c r="C12" s="455"/>
      <c r="D12" s="455"/>
      <c r="E12" s="456">
        <f>E175</f>
        <v>6750000</v>
      </c>
      <c r="F12" s="456">
        <f t="shared" ref="F12:J12" si="2">F175</f>
        <v>1020000</v>
      </c>
      <c r="G12" s="456">
        <f t="shared" si="2"/>
        <v>1400000</v>
      </c>
      <c r="H12" s="456">
        <f t="shared" si="2"/>
        <v>1430000</v>
      </c>
      <c r="I12" s="456">
        <f t="shared" si="2"/>
        <v>1430000</v>
      </c>
      <c r="J12" s="456">
        <f t="shared" si="2"/>
        <v>1470000</v>
      </c>
    </row>
    <row r="13" spans="1:12" ht="20.100000000000001" customHeight="1">
      <c r="A13" s="457">
        <v>4</v>
      </c>
      <c r="B13" s="458" t="str">
        <f>B190</f>
        <v>MANUTENÇÃO DO COMITÊ DE BACIA HIDROGRÁFICA E DA ENTIDADE DELEGATÁRIA</v>
      </c>
      <c r="C13" s="459"/>
      <c r="D13" s="459"/>
      <c r="E13" s="460">
        <f>E190</f>
        <v>7034010.9073305605</v>
      </c>
      <c r="F13" s="460">
        <f t="shared" ref="F13:J13" si="3">F190</f>
        <v>1315200</v>
      </c>
      <c r="G13" s="460">
        <f t="shared" si="3"/>
        <v>1346723.04</v>
      </c>
      <c r="H13" s="460">
        <f t="shared" si="3"/>
        <v>1400591.9616</v>
      </c>
      <c r="I13" s="460">
        <f t="shared" si="3"/>
        <v>1456615.6400640002</v>
      </c>
      <c r="J13" s="460">
        <f t="shared" si="3"/>
        <v>1514880.2656665603</v>
      </c>
    </row>
    <row r="14" spans="1:12" ht="5.0999999999999996" customHeight="1"/>
    <row r="15" spans="1:12" ht="20.100000000000001" customHeight="1">
      <c r="A15" s="443"/>
      <c r="B15" s="443" t="s">
        <v>228</v>
      </c>
      <c r="C15" s="443"/>
      <c r="D15" s="443"/>
      <c r="E15" s="461">
        <f>SUM(E10:E13)</f>
        <v>144649010.90733057</v>
      </c>
      <c r="F15" s="461">
        <f>SUM(F10:F13)</f>
        <v>41180200</v>
      </c>
      <c r="G15" s="461">
        <f t="shared" ref="G15:J15" si="4">SUM(G10:G13)</f>
        <v>28781723.039999999</v>
      </c>
      <c r="H15" s="461">
        <f t="shared" si="4"/>
        <v>49365591.961599998</v>
      </c>
      <c r="I15" s="461">
        <f t="shared" si="4"/>
        <v>12876615.640064001</v>
      </c>
      <c r="J15" s="461">
        <f t="shared" si="4"/>
        <v>12444880.265666559</v>
      </c>
      <c r="L15" s="616"/>
    </row>
    <row r="16" spans="1:12" ht="10.5" customHeight="1">
      <c r="K16" s="565"/>
      <c r="L16" s="565"/>
    </row>
    <row r="17" spans="1:10" ht="20.100000000000001" customHeight="1">
      <c r="A17" s="463" t="s">
        <v>190</v>
      </c>
      <c r="B17" s="823" t="s">
        <v>191</v>
      </c>
      <c r="C17" s="824"/>
      <c r="D17" s="824"/>
      <c r="E17" s="464">
        <f t="shared" ref="E17:J17" si="5">E18+E27+E37+E47+E55+E61+E65+E81+E97+E115</f>
        <v>58865000</v>
      </c>
      <c r="F17" s="464">
        <f t="shared" si="5"/>
        <v>6105000</v>
      </c>
      <c r="G17" s="464">
        <f t="shared" si="5"/>
        <v>4375000</v>
      </c>
      <c r="H17" s="464">
        <f t="shared" si="5"/>
        <v>40625000</v>
      </c>
      <c r="I17" s="464">
        <f t="shared" si="5"/>
        <v>3800000</v>
      </c>
      <c r="J17" s="464">
        <f t="shared" si="5"/>
        <v>3960000</v>
      </c>
    </row>
    <row r="18" spans="1:10" ht="20.100000000000001" customHeight="1">
      <c r="A18" s="465" t="s">
        <v>192</v>
      </c>
      <c r="B18" s="466" t="s">
        <v>192</v>
      </c>
      <c r="C18" s="813" t="s">
        <v>351</v>
      </c>
      <c r="D18" s="814"/>
      <c r="E18" s="475">
        <f>E20+E23+E25</f>
        <v>450000</v>
      </c>
      <c r="F18" s="475">
        <f t="shared" ref="F18:J18" si="6">F20+F23+F25</f>
        <v>150000</v>
      </c>
      <c r="G18" s="475">
        <f t="shared" si="6"/>
        <v>300000</v>
      </c>
      <c r="H18" s="475">
        <f t="shared" si="6"/>
        <v>0</v>
      </c>
      <c r="I18" s="475">
        <f t="shared" si="6"/>
        <v>0</v>
      </c>
      <c r="J18" s="475">
        <f t="shared" si="6"/>
        <v>0</v>
      </c>
    </row>
    <row r="19" spans="1:10" ht="20.100000000000001" customHeight="1">
      <c r="A19" s="618" t="s">
        <v>193</v>
      </c>
      <c r="B19" s="619" t="s">
        <v>417</v>
      </c>
      <c r="C19" s="813" t="s">
        <v>195</v>
      </c>
      <c r="D19" s="814"/>
      <c r="E19" s="467"/>
      <c r="F19" s="467"/>
      <c r="G19" s="467"/>
      <c r="H19" s="467"/>
      <c r="I19" s="467"/>
      <c r="J19" s="467"/>
    </row>
    <row r="20" spans="1:10" ht="20.100000000000001" customHeight="1">
      <c r="A20" s="621" t="s">
        <v>194</v>
      </c>
      <c r="B20" s="622"/>
      <c r="C20" s="825" t="s">
        <v>352</v>
      </c>
      <c r="D20" s="826"/>
      <c r="E20" s="478">
        <f>E21</f>
        <v>450000</v>
      </c>
      <c r="F20" s="478">
        <f t="shared" ref="F20:J20" si="7">F21</f>
        <v>150000</v>
      </c>
      <c r="G20" s="478">
        <f t="shared" si="7"/>
        <v>300000</v>
      </c>
      <c r="H20" s="478">
        <f t="shared" si="7"/>
        <v>0</v>
      </c>
      <c r="I20" s="478">
        <f t="shared" si="7"/>
        <v>0</v>
      </c>
      <c r="J20" s="478">
        <f t="shared" si="7"/>
        <v>0</v>
      </c>
    </row>
    <row r="21" spans="1:10" ht="20.100000000000001" customHeight="1">
      <c r="A21" s="500"/>
      <c r="B21" s="501"/>
      <c r="C21" s="555" t="s">
        <v>418</v>
      </c>
      <c r="D21" s="748" t="str">
        <f>'Ação 1.1.1 '!D34:M34</f>
        <v>Acompanhamento da atualização e revisão do Plano de Recursos Hídricos (PRH)</v>
      </c>
      <c r="E21" s="749">
        <f>SUM(F21:J21)</f>
        <v>450000</v>
      </c>
      <c r="F21" s="749">
        <v>150000</v>
      </c>
      <c r="G21" s="749">
        <v>300000</v>
      </c>
      <c r="H21" s="749">
        <v>0</v>
      </c>
      <c r="I21" s="749">
        <v>0</v>
      </c>
      <c r="J21" s="749">
        <v>0</v>
      </c>
    </row>
    <row r="22" spans="1:10" ht="20.100000000000001" customHeight="1">
      <c r="A22" s="500"/>
      <c r="B22" s="501"/>
      <c r="C22" s="555"/>
      <c r="D22" s="748" t="s">
        <v>479</v>
      </c>
      <c r="E22" s="749"/>
      <c r="F22" s="749"/>
      <c r="G22" s="749"/>
      <c r="H22" s="749"/>
      <c r="I22" s="749"/>
      <c r="J22" s="749"/>
    </row>
    <row r="23" spans="1:10" ht="20.100000000000001" customHeight="1">
      <c r="A23" s="621" t="s">
        <v>196</v>
      </c>
      <c r="B23" s="622"/>
      <c r="C23" s="825" t="s">
        <v>197</v>
      </c>
      <c r="D23" s="826"/>
      <c r="E23" s="478"/>
      <c r="F23" s="478"/>
      <c r="G23" s="478"/>
      <c r="H23" s="478"/>
      <c r="I23" s="478"/>
      <c r="J23" s="478"/>
    </row>
    <row r="24" spans="1:10" ht="20.100000000000001" customHeight="1">
      <c r="A24" s="500"/>
      <c r="B24" s="501"/>
      <c r="C24" s="555" t="s">
        <v>419</v>
      </c>
      <c r="D24" s="748" t="s">
        <v>420</v>
      </c>
      <c r="E24" s="749"/>
      <c r="F24" s="749"/>
      <c r="G24" s="749"/>
      <c r="H24" s="749"/>
      <c r="I24" s="749"/>
      <c r="J24" s="749"/>
    </row>
    <row r="25" spans="1:10" ht="20.100000000000001" customHeight="1">
      <c r="A25" s="621" t="s">
        <v>198</v>
      </c>
      <c r="B25" s="622"/>
      <c r="C25" s="825" t="s">
        <v>199</v>
      </c>
      <c r="D25" s="826"/>
      <c r="E25" s="478"/>
      <c r="F25" s="478"/>
      <c r="G25" s="478"/>
      <c r="H25" s="478"/>
      <c r="I25" s="478"/>
      <c r="J25" s="478"/>
    </row>
    <row r="26" spans="1:10" ht="20.100000000000001" customHeight="1">
      <c r="A26" s="500"/>
      <c r="B26" s="501"/>
      <c r="C26" s="555" t="s">
        <v>421</v>
      </c>
      <c r="D26" s="748" t="s">
        <v>617</v>
      </c>
      <c r="E26" s="749"/>
      <c r="F26" s="749"/>
      <c r="G26" s="749"/>
      <c r="H26" s="749"/>
      <c r="I26" s="749"/>
      <c r="J26" s="749"/>
    </row>
    <row r="27" spans="1:10" ht="15" hidden="1" customHeight="1">
      <c r="A27" s="620" t="s">
        <v>192</v>
      </c>
      <c r="B27" s="620" t="s">
        <v>192</v>
      </c>
      <c r="C27" s="813" t="s">
        <v>422</v>
      </c>
      <c r="D27" s="814"/>
      <c r="E27" s="467"/>
      <c r="F27" s="467"/>
      <c r="G27" s="467"/>
      <c r="H27" s="467"/>
      <c r="I27" s="467"/>
      <c r="J27" s="467"/>
    </row>
    <row r="28" spans="1:10" ht="15" hidden="1" customHeight="1">
      <c r="A28" s="465" t="s">
        <v>193</v>
      </c>
      <c r="B28" s="466" t="s">
        <v>417</v>
      </c>
      <c r="C28" s="813" t="s">
        <v>195</v>
      </c>
      <c r="D28" s="814"/>
      <c r="E28" s="467"/>
      <c r="F28" s="467"/>
      <c r="G28" s="467"/>
      <c r="H28" s="467"/>
      <c r="I28" s="467"/>
      <c r="J28" s="467"/>
    </row>
    <row r="29" spans="1:10" ht="30" hidden="1" customHeight="1">
      <c r="A29" s="476" t="s">
        <v>423</v>
      </c>
      <c r="B29" s="477" t="s">
        <v>778</v>
      </c>
      <c r="C29" s="827" t="s">
        <v>424</v>
      </c>
      <c r="D29" s="828"/>
      <c r="E29" s="478"/>
      <c r="F29" s="478"/>
      <c r="G29" s="478"/>
      <c r="H29" s="478"/>
      <c r="I29" s="478"/>
      <c r="J29" s="478"/>
    </row>
    <row r="30" spans="1:10" hidden="1">
      <c r="A30" s="471"/>
      <c r="B30" s="131"/>
      <c r="C30" s="131"/>
      <c r="D30" s="472"/>
      <c r="E30" s="473"/>
      <c r="F30" s="473"/>
      <c r="G30" s="473"/>
      <c r="H30" s="473"/>
      <c r="I30" s="473"/>
      <c r="J30" s="473"/>
    </row>
    <row r="31" spans="1:10" ht="30" hidden="1" customHeight="1">
      <c r="A31" s="476" t="s">
        <v>425</v>
      </c>
      <c r="B31" s="477"/>
      <c r="C31" s="827" t="s">
        <v>426</v>
      </c>
      <c r="D31" s="828"/>
      <c r="E31" s="478"/>
      <c r="F31" s="478"/>
      <c r="G31" s="478"/>
      <c r="H31" s="478"/>
      <c r="I31" s="478"/>
      <c r="J31" s="478"/>
    </row>
    <row r="32" spans="1:10" hidden="1">
      <c r="A32" s="471"/>
      <c r="B32" s="131"/>
      <c r="C32" s="131"/>
      <c r="D32" s="472"/>
      <c r="E32" s="473"/>
      <c r="F32" s="473"/>
      <c r="G32" s="473"/>
      <c r="H32" s="473"/>
      <c r="I32" s="473"/>
      <c r="J32" s="473"/>
    </row>
    <row r="33" spans="1:10" ht="20.100000000000001" hidden="1" customHeight="1">
      <c r="A33" s="476" t="s">
        <v>427</v>
      </c>
      <c r="B33" s="477"/>
      <c r="C33" s="827" t="s">
        <v>428</v>
      </c>
      <c r="D33" s="828"/>
      <c r="E33" s="478"/>
      <c r="F33" s="478"/>
      <c r="G33" s="478"/>
      <c r="H33" s="478"/>
      <c r="I33" s="478"/>
      <c r="J33" s="478"/>
    </row>
    <row r="34" spans="1:10" hidden="1">
      <c r="A34" s="471"/>
      <c r="B34" s="131"/>
      <c r="C34" s="131"/>
      <c r="D34" s="474"/>
      <c r="E34" s="473"/>
      <c r="F34" s="473"/>
      <c r="G34" s="473"/>
      <c r="H34" s="473"/>
      <c r="I34" s="473"/>
      <c r="J34" s="473"/>
    </row>
    <row r="35" spans="1:10" ht="20.100000000000001" hidden="1" customHeight="1">
      <c r="A35" s="476" t="s">
        <v>429</v>
      </c>
      <c r="B35" s="477"/>
      <c r="C35" s="827" t="s">
        <v>430</v>
      </c>
      <c r="D35" s="828"/>
      <c r="E35" s="478"/>
      <c r="F35" s="478"/>
      <c r="G35" s="478"/>
      <c r="H35" s="478"/>
      <c r="I35" s="478"/>
      <c r="J35" s="478"/>
    </row>
    <row r="36" spans="1:10" hidden="1">
      <c r="A36" s="471"/>
      <c r="B36" s="131"/>
      <c r="C36" s="131"/>
      <c r="D36" s="611"/>
      <c r="E36" s="473"/>
      <c r="F36" s="473"/>
      <c r="G36" s="473"/>
      <c r="H36" s="473"/>
      <c r="I36" s="473"/>
      <c r="J36" s="473"/>
    </row>
    <row r="37" spans="1:10" hidden="1">
      <c r="A37" s="465" t="s">
        <v>192</v>
      </c>
      <c r="B37" s="466" t="s">
        <v>192</v>
      </c>
      <c r="C37" s="813" t="s">
        <v>431</v>
      </c>
      <c r="D37" s="814"/>
      <c r="E37" s="467"/>
      <c r="F37" s="467"/>
      <c r="G37" s="467"/>
      <c r="H37" s="467"/>
      <c r="I37" s="467"/>
      <c r="J37" s="467"/>
    </row>
    <row r="38" spans="1:10" hidden="1">
      <c r="A38" s="465" t="s">
        <v>193</v>
      </c>
      <c r="B38" s="466" t="s">
        <v>417</v>
      </c>
      <c r="C38" s="813" t="s">
        <v>195</v>
      </c>
      <c r="D38" s="814"/>
      <c r="E38" s="467"/>
      <c r="F38" s="467"/>
      <c r="G38" s="467"/>
      <c r="H38" s="467"/>
      <c r="I38" s="467"/>
      <c r="J38" s="467"/>
    </row>
    <row r="39" spans="1:10" ht="20.100000000000001" hidden="1" customHeight="1">
      <c r="A39" s="476" t="s">
        <v>432</v>
      </c>
      <c r="B39" s="477" t="s">
        <v>779</v>
      </c>
      <c r="C39" s="827" t="s">
        <v>433</v>
      </c>
      <c r="D39" s="828"/>
      <c r="E39" s="478"/>
      <c r="F39" s="478"/>
      <c r="G39" s="478"/>
      <c r="H39" s="478"/>
      <c r="I39" s="478"/>
      <c r="J39" s="478"/>
    </row>
    <row r="40" spans="1:10" hidden="1">
      <c r="A40" s="471"/>
      <c r="B40" s="131"/>
      <c r="C40" s="131"/>
      <c r="D40" s="474"/>
      <c r="E40" s="473"/>
      <c r="F40" s="473"/>
      <c r="G40" s="473"/>
      <c r="H40" s="473"/>
      <c r="I40" s="473"/>
      <c r="J40" s="473"/>
    </row>
    <row r="41" spans="1:10" ht="20.100000000000001" hidden="1" customHeight="1">
      <c r="A41" s="476" t="s">
        <v>434</v>
      </c>
      <c r="B41" s="477"/>
      <c r="C41" s="827" t="s">
        <v>435</v>
      </c>
      <c r="D41" s="828"/>
      <c r="E41" s="478"/>
      <c r="F41" s="478"/>
      <c r="G41" s="478"/>
      <c r="H41" s="478"/>
      <c r="I41" s="478"/>
      <c r="J41" s="478"/>
    </row>
    <row r="42" spans="1:10" hidden="1">
      <c r="A42" s="471"/>
      <c r="B42" s="131"/>
      <c r="C42" s="131"/>
      <c r="D42" s="474"/>
      <c r="E42" s="473"/>
      <c r="F42" s="473"/>
      <c r="G42" s="473"/>
      <c r="H42" s="473"/>
      <c r="I42" s="473"/>
      <c r="J42" s="473"/>
    </row>
    <row r="43" spans="1:10" ht="20.100000000000001" hidden="1" customHeight="1">
      <c r="A43" s="476" t="s">
        <v>436</v>
      </c>
      <c r="B43" s="477" t="s">
        <v>780</v>
      </c>
      <c r="C43" s="827" t="s">
        <v>437</v>
      </c>
      <c r="D43" s="828"/>
      <c r="E43" s="478"/>
      <c r="F43" s="478"/>
      <c r="G43" s="478"/>
      <c r="H43" s="478"/>
      <c r="I43" s="478"/>
      <c r="J43" s="478"/>
    </row>
    <row r="44" spans="1:10" hidden="1">
      <c r="A44" s="471"/>
      <c r="B44" s="131"/>
      <c r="C44" s="131"/>
      <c r="D44" s="474"/>
      <c r="E44" s="473"/>
      <c r="F44" s="473"/>
      <c r="G44" s="473"/>
      <c r="H44" s="473"/>
      <c r="I44" s="473"/>
      <c r="J44" s="473"/>
    </row>
    <row r="45" spans="1:10" ht="20.100000000000001" hidden="1" customHeight="1">
      <c r="A45" s="476" t="s">
        <v>438</v>
      </c>
      <c r="B45" s="477"/>
      <c r="C45" s="827" t="s">
        <v>439</v>
      </c>
      <c r="D45" s="828"/>
      <c r="E45" s="478"/>
      <c r="F45" s="478"/>
      <c r="G45" s="478"/>
      <c r="H45" s="478"/>
      <c r="I45" s="478"/>
      <c r="J45" s="478"/>
    </row>
    <row r="46" spans="1:10" hidden="1">
      <c r="A46" s="471"/>
      <c r="B46" s="131"/>
      <c r="C46" s="131"/>
      <c r="D46" s="612"/>
      <c r="E46" s="473"/>
      <c r="F46" s="473"/>
      <c r="G46" s="473"/>
      <c r="H46" s="473"/>
      <c r="I46" s="473"/>
      <c r="J46" s="473"/>
    </row>
    <row r="47" spans="1:10" ht="20.100000000000001" customHeight="1">
      <c r="A47" s="465" t="s">
        <v>192</v>
      </c>
      <c r="B47" s="466" t="s">
        <v>192</v>
      </c>
      <c r="C47" s="813" t="s">
        <v>440</v>
      </c>
      <c r="D47" s="814"/>
      <c r="E47" s="475">
        <f t="shared" ref="E47:J47" si="8">E49+E51+E53</f>
        <v>3250000</v>
      </c>
      <c r="F47" s="475">
        <f t="shared" si="8"/>
        <v>600000</v>
      </c>
      <c r="G47" s="475">
        <f t="shared" si="8"/>
        <v>620000</v>
      </c>
      <c r="H47" s="475">
        <f t="shared" si="8"/>
        <v>650000</v>
      </c>
      <c r="I47" s="475">
        <f t="shared" si="8"/>
        <v>680000</v>
      </c>
      <c r="J47" s="475">
        <f t="shared" si="8"/>
        <v>700000</v>
      </c>
    </row>
    <row r="48" spans="1:10" ht="20.100000000000001" customHeight="1">
      <c r="A48" s="465" t="s">
        <v>193</v>
      </c>
      <c r="B48" s="466" t="s">
        <v>417</v>
      </c>
      <c r="C48" s="813" t="s">
        <v>195</v>
      </c>
      <c r="D48" s="814"/>
      <c r="E48" s="467"/>
      <c r="F48" s="467"/>
      <c r="G48" s="467"/>
      <c r="H48" s="467"/>
      <c r="I48" s="467"/>
      <c r="J48" s="467"/>
    </row>
    <row r="49" spans="1:10" ht="30" customHeight="1">
      <c r="A49" s="476" t="s">
        <v>441</v>
      </c>
      <c r="B49" s="477" t="s">
        <v>644</v>
      </c>
      <c r="C49" s="827" t="s">
        <v>442</v>
      </c>
      <c r="D49" s="828"/>
      <c r="E49" s="478">
        <f>E50</f>
        <v>3250000</v>
      </c>
      <c r="F49" s="478">
        <f t="shared" ref="F49:J49" si="9">F50</f>
        <v>600000</v>
      </c>
      <c r="G49" s="478">
        <f t="shared" si="9"/>
        <v>620000</v>
      </c>
      <c r="H49" s="478">
        <f t="shared" si="9"/>
        <v>650000</v>
      </c>
      <c r="I49" s="478">
        <f t="shared" si="9"/>
        <v>680000</v>
      </c>
      <c r="J49" s="478">
        <f t="shared" si="9"/>
        <v>700000</v>
      </c>
    </row>
    <row r="50" spans="1:10" ht="33" customHeight="1">
      <c r="A50" s="471"/>
      <c r="B50" s="131"/>
      <c r="C50" s="735" t="s">
        <v>443</v>
      </c>
      <c r="D50" s="750" t="s">
        <v>655</v>
      </c>
      <c r="E50" s="731">
        <f>SUM(F50:J50)</f>
        <v>3250000</v>
      </c>
      <c r="F50" s="731">
        <v>600000</v>
      </c>
      <c r="G50" s="731">
        <v>620000</v>
      </c>
      <c r="H50" s="731">
        <v>650000</v>
      </c>
      <c r="I50" s="731">
        <v>680000</v>
      </c>
      <c r="J50" s="731">
        <v>700000</v>
      </c>
    </row>
    <row r="51" spans="1:10" ht="20.100000000000001" hidden="1" customHeight="1">
      <c r="A51" s="476" t="s">
        <v>444</v>
      </c>
      <c r="B51" s="477"/>
      <c r="C51" s="827" t="s">
        <v>445</v>
      </c>
      <c r="D51" s="828"/>
      <c r="E51" s="478">
        <f>E52</f>
        <v>0</v>
      </c>
      <c r="F51" s="478">
        <f t="shared" ref="F51:J51" si="10">F52</f>
        <v>0</v>
      </c>
      <c r="G51" s="478">
        <f t="shared" si="10"/>
        <v>0</v>
      </c>
      <c r="H51" s="478">
        <f t="shared" si="10"/>
        <v>0</v>
      </c>
      <c r="I51" s="478">
        <f t="shared" si="10"/>
        <v>0</v>
      </c>
      <c r="J51" s="478">
        <f t="shared" si="10"/>
        <v>0</v>
      </c>
    </row>
    <row r="52" spans="1:10" hidden="1">
      <c r="A52" s="471"/>
      <c r="B52" s="131"/>
      <c r="C52" s="555" t="s">
        <v>446</v>
      </c>
      <c r="D52" s="556" t="s">
        <v>447</v>
      </c>
      <c r="E52" s="480">
        <f>SUM(F52:J52)</f>
        <v>0</v>
      </c>
      <c r="F52" s="480">
        <v>0</v>
      </c>
      <c r="G52" s="480">
        <v>0</v>
      </c>
      <c r="H52" s="480">
        <v>0</v>
      </c>
      <c r="I52" s="480">
        <v>0</v>
      </c>
      <c r="J52" s="480">
        <v>0</v>
      </c>
    </row>
    <row r="53" spans="1:10" ht="20.100000000000001" hidden="1" customHeight="1">
      <c r="A53" s="476" t="s">
        <v>448</v>
      </c>
      <c r="B53" s="477"/>
      <c r="C53" s="827" t="s">
        <v>449</v>
      </c>
      <c r="D53" s="828"/>
      <c r="E53" s="478">
        <f>E54</f>
        <v>0</v>
      </c>
      <c r="F53" s="478">
        <f>F54</f>
        <v>0</v>
      </c>
      <c r="G53" s="478">
        <f t="shared" ref="G53:J53" si="11">G54</f>
        <v>0</v>
      </c>
      <c r="H53" s="478">
        <f t="shared" si="11"/>
        <v>0</v>
      </c>
      <c r="I53" s="478">
        <f t="shared" si="11"/>
        <v>0</v>
      </c>
      <c r="J53" s="478">
        <f t="shared" si="11"/>
        <v>0</v>
      </c>
    </row>
    <row r="54" spans="1:10" hidden="1">
      <c r="A54" s="471"/>
      <c r="B54" s="131"/>
      <c r="C54" s="131"/>
      <c r="D54" s="131"/>
      <c r="E54" s="131"/>
      <c r="F54" s="131"/>
      <c r="G54" s="131"/>
      <c r="H54" s="131"/>
      <c r="I54" s="131"/>
      <c r="J54" s="131"/>
    </row>
    <row r="55" spans="1:10" ht="20.100000000000001" customHeight="1">
      <c r="A55" s="465" t="s">
        <v>192</v>
      </c>
      <c r="B55" s="466" t="s">
        <v>192</v>
      </c>
      <c r="C55" s="813" t="s">
        <v>287</v>
      </c>
      <c r="D55" s="814"/>
      <c r="E55" s="467"/>
      <c r="F55" s="467"/>
      <c r="G55" s="467"/>
      <c r="H55" s="467"/>
      <c r="I55" s="467"/>
      <c r="J55" s="467"/>
    </row>
    <row r="56" spans="1:10" ht="20.100000000000001" customHeight="1">
      <c r="A56" s="465" t="s">
        <v>193</v>
      </c>
      <c r="B56" s="466" t="s">
        <v>417</v>
      </c>
      <c r="C56" s="813" t="s">
        <v>195</v>
      </c>
      <c r="D56" s="814"/>
      <c r="E56" s="467"/>
      <c r="F56" s="467"/>
      <c r="G56" s="467"/>
      <c r="H56" s="467"/>
      <c r="I56" s="467"/>
      <c r="J56" s="467"/>
    </row>
    <row r="57" spans="1:10" ht="30" customHeight="1">
      <c r="A57" s="476" t="s">
        <v>200</v>
      </c>
      <c r="B57" s="477" t="s">
        <v>307</v>
      </c>
      <c r="C57" s="827" t="s">
        <v>295</v>
      </c>
      <c r="D57" s="828"/>
      <c r="E57" s="478">
        <f>E58</f>
        <v>150000</v>
      </c>
      <c r="F57" s="478">
        <f t="shared" ref="F57:J57" si="12">F58</f>
        <v>70000</v>
      </c>
      <c r="G57" s="478">
        <f t="shared" si="12"/>
        <v>0</v>
      </c>
      <c r="H57" s="478">
        <f t="shared" si="12"/>
        <v>80000</v>
      </c>
      <c r="I57" s="478">
        <f t="shared" si="12"/>
        <v>0</v>
      </c>
      <c r="J57" s="478">
        <f t="shared" si="12"/>
        <v>0</v>
      </c>
    </row>
    <row r="58" spans="1:10" ht="20.100000000000001" customHeight="1">
      <c r="A58" s="500"/>
      <c r="B58" s="501"/>
      <c r="C58" s="555" t="s">
        <v>318</v>
      </c>
      <c r="D58" s="748" t="s">
        <v>657</v>
      </c>
      <c r="E58" s="749">
        <f>SUM(F58:J58)</f>
        <v>150000</v>
      </c>
      <c r="F58" s="749">
        <v>70000</v>
      </c>
      <c r="G58" s="749">
        <v>0</v>
      </c>
      <c r="H58" s="749">
        <v>80000</v>
      </c>
      <c r="I58" s="749">
        <v>0</v>
      </c>
      <c r="J58" s="749">
        <v>0</v>
      </c>
    </row>
    <row r="59" spans="1:10" ht="20.100000000000001" hidden="1" customHeight="1">
      <c r="A59" s="476" t="s">
        <v>201</v>
      </c>
      <c r="B59" s="477"/>
      <c r="C59" s="827" t="s">
        <v>450</v>
      </c>
      <c r="D59" s="828"/>
      <c r="E59" s="478"/>
      <c r="F59" s="478"/>
      <c r="G59" s="478"/>
      <c r="H59" s="478"/>
      <c r="I59" s="478"/>
      <c r="J59" s="478"/>
    </row>
    <row r="60" spans="1:10" hidden="1">
      <c r="A60" s="481"/>
      <c r="B60" s="482"/>
      <c r="C60" s="482"/>
      <c r="D60" s="613"/>
      <c r="E60" s="473"/>
      <c r="F60" s="473"/>
      <c r="G60" s="473"/>
      <c r="H60" s="473"/>
      <c r="I60" s="473"/>
      <c r="J60" s="473"/>
    </row>
    <row r="61" spans="1:10" hidden="1">
      <c r="A61" s="465" t="s">
        <v>192</v>
      </c>
      <c r="B61" s="466" t="s">
        <v>192</v>
      </c>
      <c r="C61" s="813" t="s">
        <v>451</v>
      </c>
      <c r="D61" s="814"/>
      <c r="E61" s="467"/>
      <c r="F61" s="467"/>
      <c r="G61" s="467"/>
      <c r="H61" s="467"/>
      <c r="I61" s="467"/>
      <c r="J61" s="467"/>
    </row>
    <row r="62" spans="1:10" hidden="1">
      <c r="A62" s="465" t="s">
        <v>193</v>
      </c>
      <c r="B62" s="466" t="s">
        <v>417</v>
      </c>
      <c r="C62" s="813" t="s">
        <v>195</v>
      </c>
      <c r="D62" s="814"/>
      <c r="E62" s="467"/>
      <c r="F62" s="467"/>
      <c r="G62" s="467"/>
      <c r="H62" s="467"/>
      <c r="I62" s="467"/>
      <c r="J62" s="467"/>
    </row>
    <row r="63" spans="1:10" ht="20.100000000000001" hidden="1" customHeight="1">
      <c r="A63" s="476" t="s">
        <v>452</v>
      </c>
      <c r="B63" s="477" t="s">
        <v>781</v>
      </c>
      <c r="C63" s="827" t="s">
        <v>453</v>
      </c>
      <c r="D63" s="828"/>
      <c r="E63" s="478"/>
      <c r="F63" s="478"/>
      <c r="G63" s="478"/>
      <c r="H63" s="478"/>
      <c r="I63" s="478"/>
      <c r="J63" s="478"/>
    </row>
    <row r="64" spans="1:10" hidden="1">
      <c r="A64" s="471"/>
      <c r="B64" s="131"/>
      <c r="C64" s="131"/>
      <c r="D64" s="612"/>
      <c r="E64" s="473"/>
      <c r="F64" s="473"/>
      <c r="G64" s="473"/>
      <c r="H64" s="473"/>
      <c r="I64" s="473"/>
      <c r="J64" s="473"/>
    </row>
    <row r="65" spans="1:10" hidden="1">
      <c r="A65" s="465" t="s">
        <v>192</v>
      </c>
      <c r="B65" s="466" t="s">
        <v>192</v>
      </c>
      <c r="C65" s="813" t="s">
        <v>454</v>
      </c>
      <c r="D65" s="814"/>
      <c r="E65" s="467"/>
      <c r="F65" s="467"/>
      <c r="G65" s="467"/>
      <c r="H65" s="467"/>
      <c r="I65" s="467"/>
      <c r="J65" s="467"/>
    </row>
    <row r="66" spans="1:10" hidden="1">
      <c r="A66" s="465" t="s">
        <v>193</v>
      </c>
      <c r="B66" s="466" t="s">
        <v>417</v>
      </c>
      <c r="C66" s="813" t="s">
        <v>195</v>
      </c>
      <c r="D66" s="814"/>
      <c r="E66" s="467"/>
      <c r="F66" s="467"/>
      <c r="G66" s="467"/>
      <c r="H66" s="467"/>
      <c r="I66" s="467"/>
      <c r="J66" s="467"/>
    </row>
    <row r="67" spans="1:10" ht="20.100000000000001" hidden="1" customHeight="1">
      <c r="A67" s="476" t="s">
        <v>455</v>
      </c>
      <c r="B67" s="477" t="s">
        <v>782</v>
      </c>
      <c r="C67" s="827" t="s">
        <v>456</v>
      </c>
      <c r="D67" s="828"/>
      <c r="E67" s="478"/>
      <c r="F67" s="478"/>
      <c r="G67" s="478"/>
      <c r="H67" s="478"/>
      <c r="I67" s="478"/>
      <c r="J67" s="478"/>
    </row>
    <row r="68" spans="1:10" hidden="1">
      <c r="A68" s="471"/>
      <c r="B68" s="131"/>
      <c r="C68" s="131"/>
      <c r="D68" s="474"/>
      <c r="E68" s="473"/>
      <c r="F68" s="473"/>
      <c r="G68" s="473"/>
      <c r="H68" s="473"/>
      <c r="I68" s="473"/>
      <c r="J68" s="473"/>
    </row>
    <row r="69" spans="1:10" ht="20.100000000000001" hidden="1" customHeight="1">
      <c r="A69" s="476" t="s">
        <v>457</v>
      </c>
      <c r="B69" s="477"/>
      <c r="C69" s="827" t="s">
        <v>458</v>
      </c>
      <c r="D69" s="828"/>
      <c r="E69" s="478"/>
      <c r="F69" s="478"/>
      <c r="G69" s="478"/>
      <c r="H69" s="478"/>
      <c r="I69" s="478"/>
      <c r="J69" s="478"/>
    </row>
    <row r="70" spans="1:10" hidden="1">
      <c r="A70" s="471"/>
      <c r="B70" s="131"/>
      <c r="C70" s="131"/>
      <c r="D70" s="474"/>
      <c r="E70" s="473"/>
      <c r="F70" s="473"/>
      <c r="G70" s="473"/>
      <c r="H70" s="473"/>
      <c r="I70" s="473"/>
      <c r="J70" s="473"/>
    </row>
    <row r="71" spans="1:10" ht="20.100000000000001" hidden="1" customHeight="1">
      <c r="A71" s="476" t="s">
        <v>459</v>
      </c>
      <c r="B71" s="477"/>
      <c r="C71" s="827" t="s">
        <v>460</v>
      </c>
      <c r="D71" s="828"/>
      <c r="E71" s="478"/>
      <c r="F71" s="478"/>
      <c r="G71" s="478"/>
      <c r="H71" s="478"/>
      <c r="I71" s="478"/>
      <c r="J71" s="478"/>
    </row>
    <row r="72" spans="1:10" hidden="1">
      <c r="A72" s="471"/>
      <c r="B72" s="131"/>
      <c r="C72" s="131"/>
      <c r="D72" s="474"/>
      <c r="E72" s="473"/>
      <c r="F72" s="473"/>
      <c r="G72" s="473"/>
      <c r="H72" s="473"/>
      <c r="I72" s="473"/>
      <c r="J72" s="473"/>
    </row>
    <row r="73" spans="1:10" ht="20.100000000000001" hidden="1" customHeight="1">
      <c r="A73" s="476" t="s">
        <v>461</v>
      </c>
      <c r="B73" s="477"/>
      <c r="C73" s="827" t="s">
        <v>462</v>
      </c>
      <c r="D73" s="828"/>
      <c r="E73" s="478"/>
      <c r="F73" s="478"/>
      <c r="G73" s="478"/>
      <c r="H73" s="478"/>
      <c r="I73" s="478"/>
      <c r="J73" s="478"/>
    </row>
    <row r="74" spans="1:10" hidden="1">
      <c r="A74" s="471"/>
      <c r="B74" s="131"/>
      <c r="C74" s="131"/>
      <c r="D74" s="474"/>
      <c r="E74" s="473"/>
      <c r="F74" s="473"/>
      <c r="G74" s="473"/>
      <c r="H74" s="473"/>
      <c r="I74" s="473"/>
      <c r="J74" s="473"/>
    </row>
    <row r="75" spans="1:10" ht="30" hidden="1" customHeight="1">
      <c r="A75" s="476" t="s">
        <v>463</v>
      </c>
      <c r="B75" s="477"/>
      <c r="C75" s="827" t="s">
        <v>464</v>
      </c>
      <c r="D75" s="828"/>
      <c r="E75" s="478"/>
      <c r="F75" s="478"/>
      <c r="G75" s="478"/>
      <c r="H75" s="478"/>
      <c r="I75" s="478"/>
      <c r="J75" s="478"/>
    </row>
    <row r="76" spans="1:10" hidden="1">
      <c r="A76" s="471"/>
      <c r="B76" s="131"/>
      <c r="C76" s="131"/>
      <c r="D76" s="472"/>
      <c r="E76" s="473"/>
      <c r="F76" s="473"/>
      <c r="G76" s="473"/>
      <c r="H76" s="473"/>
      <c r="I76" s="473"/>
      <c r="J76" s="473"/>
    </row>
    <row r="77" spans="1:10" ht="20.100000000000001" hidden="1" customHeight="1">
      <c r="A77" s="476" t="s">
        <v>465</v>
      </c>
      <c r="B77" s="477"/>
      <c r="C77" s="827" t="s">
        <v>466</v>
      </c>
      <c r="D77" s="828"/>
      <c r="E77" s="478"/>
      <c r="F77" s="478"/>
      <c r="G77" s="478"/>
      <c r="H77" s="478"/>
      <c r="I77" s="478"/>
      <c r="J77" s="478"/>
    </row>
    <row r="78" spans="1:10" ht="15" hidden="1" customHeight="1">
      <c r="A78" s="471"/>
      <c r="B78" s="131"/>
      <c r="C78" s="614"/>
      <c r="D78" s="612"/>
      <c r="E78" s="473"/>
      <c r="F78" s="473"/>
      <c r="G78" s="473"/>
      <c r="H78" s="473"/>
      <c r="I78" s="473"/>
      <c r="J78" s="473"/>
    </row>
    <row r="79" spans="1:10" hidden="1">
      <c r="A79" s="483" t="s">
        <v>190</v>
      </c>
      <c r="B79" s="833" t="s">
        <v>191</v>
      </c>
      <c r="C79" s="834"/>
      <c r="D79" s="834"/>
      <c r="E79" s="484"/>
      <c r="F79" s="484"/>
      <c r="G79" s="484"/>
      <c r="H79" s="484"/>
      <c r="I79" s="484"/>
      <c r="J79" s="484"/>
    </row>
    <row r="80" spans="1:10" ht="20.100000000000001" customHeight="1">
      <c r="A80" s="463" t="s">
        <v>190</v>
      </c>
      <c r="B80" s="823" t="s">
        <v>191</v>
      </c>
      <c r="C80" s="824"/>
      <c r="D80" s="824"/>
      <c r="E80" s="464"/>
      <c r="F80" s="464"/>
      <c r="G80" s="464"/>
      <c r="H80" s="464"/>
      <c r="I80" s="464"/>
      <c r="J80" s="464"/>
    </row>
    <row r="81" spans="1:10" ht="20.100000000000001" customHeight="1">
      <c r="A81" s="465" t="s">
        <v>192</v>
      </c>
      <c r="B81" s="466" t="s">
        <v>192</v>
      </c>
      <c r="C81" s="813" t="s">
        <v>467</v>
      </c>
      <c r="D81" s="814"/>
      <c r="E81" s="475">
        <f>E83+E85+E87+E89+E95</f>
        <v>52070000</v>
      </c>
      <c r="F81" s="475">
        <f t="shared" ref="F81:J81" si="13">F83+F85+F87+F89+F95</f>
        <v>4870000</v>
      </c>
      <c r="G81" s="475">
        <f t="shared" si="13"/>
        <v>2490000</v>
      </c>
      <c r="H81" s="475">
        <f t="shared" si="13"/>
        <v>39450000</v>
      </c>
      <c r="I81" s="475">
        <f t="shared" si="13"/>
        <v>2570000</v>
      </c>
      <c r="J81" s="475">
        <f t="shared" si="13"/>
        <v>2690000</v>
      </c>
    </row>
    <row r="82" spans="1:10" ht="20.100000000000001" customHeight="1">
      <c r="A82" s="465" t="s">
        <v>193</v>
      </c>
      <c r="B82" s="466" t="s">
        <v>417</v>
      </c>
      <c r="C82" s="813" t="s">
        <v>195</v>
      </c>
      <c r="D82" s="814"/>
      <c r="E82" s="467"/>
      <c r="F82" s="467"/>
      <c r="G82" s="467"/>
      <c r="H82" s="467"/>
      <c r="I82" s="467"/>
      <c r="J82" s="467"/>
    </row>
    <row r="83" spans="1:10" ht="30" customHeight="1">
      <c r="A83" s="476" t="s">
        <v>468</v>
      </c>
      <c r="B83" s="477" t="s">
        <v>933</v>
      </c>
      <c r="C83" s="829" t="s">
        <v>469</v>
      </c>
      <c r="D83" s="830"/>
      <c r="E83" s="478">
        <f>E84</f>
        <v>2000000</v>
      </c>
      <c r="F83" s="478">
        <f t="shared" ref="F83:J83" si="14">F84</f>
        <v>1000000</v>
      </c>
      <c r="G83" s="478">
        <f t="shared" si="14"/>
        <v>1000000</v>
      </c>
      <c r="H83" s="478">
        <f t="shared" si="14"/>
        <v>0</v>
      </c>
      <c r="I83" s="478">
        <f t="shared" si="14"/>
        <v>0</v>
      </c>
      <c r="J83" s="478">
        <f t="shared" si="14"/>
        <v>0</v>
      </c>
    </row>
    <row r="84" spans="1:10" ht="20.100000000000001" customHeight="1">
      <c r="A84" s="500"/>
      <c r="B84" s="501"/>
      <c r="C84" s="555" t="s">
        <v>954</v>
      </c>
      <c r="D84" s="748" t="s">
        <v>955</v>
      </c>
      <c r="E84" s="749">
        <f>SUM(F84:J84)</f>
        <v>2000000</v>
      </c>
      <c r="F84" s="749">
        <v>1000000</v>
      </c>
      <c r="G84" s="749">
        <v>1000000</v>
      </c>
      <c r="H84" s="749">
        <v>0</v>
      </c>
      <c r="I84" s="749">
        <v>0</v>
      </c>
      <c r="J84" s="749">
        <v>0</v>
      </c>
    </row>
    <row r="85" spans="1:10" ht="20.100000000000001" customHeight="1">
      <c r="A85" s="476" t="s">
        <v>470</v>
      </c>
      <c r="B85" s="477"/>
      <c r="C85" s="829" t="s">
        <v>471</v>
      </c>
      <c r="D85" s="830"/>
      <c r="E85" s="478">
        <f>E86</f>
        <v>3450000</v>
      </c>
      <c r="F85" s="478">
        <f t="shared" ref="F85:J85" si="15">F86</f>
        <v>0</v>
      </c>
      <c r="G85" s="478">
        <f t="shared" si="15"/>
        <v>950000</v>
      </c>
      <c r="H85" s="478">
        <f t="shared" si="15"/>
        <v>900000</v>
      </c>
      <c r="I85" s="478">
        <f t="shared" si="15"/>
        <v>800000</v>
      </c>
      <c r="J85" s="478">
        <f t="shared" si="15"/>
        <v>800000</v>
      </c>
    </row>
    <row r="86" spans="1:10" ht="20.100000000000001" customHeight="1">
      <c r="A86" s="500"/>
      <c r="B86" s="501"/>
      <c r="C86" s="555" t="s">
        <v>666</v>
      </c>
      <c r="D86" s="748" t="s">
        <v>668</v>
      </c>
      <c r="E86" s="749">
        <f>SUM(F86:J86)</f>
        <v>3450000</v>
      </c>
      <c r="F86" s="749">
        <f>'Ação 1.8.2 '!D26</f>
        <v>0</v>
      </c>
      <c r="G86" s="749">
        <v>950000</v>
      </c>
      <c r="H86" s="749">
        <v>900000</v>
      </c>
      <c r="I86" s="749">
        <v>800000</v>
      </c>
      <c r="J86" s="749">
        <v>800000</v>
      </c>
    </row>
    <row r="87" spans="1:10" ht="30" hidden="1" customHeight="1">
      <c r="A87" s="476" t="s">
        <v>472</v>
      </c>
      <c r="B87" s="477"/>
      <c r="C87" s="829" t="s">
        <v>473</v>
      </c>
      <c r="D87" s="830"/>
      <c r="E87" s="478"/>
      <c r="F87" s="478"/>
      <c r="G87" s="478"/>
      <c r="H87" s="478"/>
      <c r="I87" s="478"/>
      <c r="J87" s="478"/>
    </row>
    <row r="88" spans="1:10" hidden="1">
      <c r="A88" s="471"/>
      <c r="B88" s="131"/>
      <c r="C88" s="487"/>
      <c r="D88" s="488"/>
      <c r="E88" s="473"/>
      <c r="F88" s="473"/>
      <c r="G88" s="473"/>
      <c r="H88" s="473"/>
      <c r="I88" s="473"/>
      <c r="J88" s="473"/>
    </row>
    <row r="89" spans="1:10" ht="30" customHeight="1">
      <c r="A89" s="476" t="s">
        <v>474</v>
      </c>
      <c r="B89" s="477" t="s">
        <v>783</v>
      </c>
      <c r="C89" s="829" t="s">
        <v>475</v>
      </c>
      <c r="D89" s="830"/>
      <c r="E89" s="478">
        <f t="shared" ref="E89:J89" si="16">SUM(E90:E94)</f>
        <v>46620000</v>
      </c>
      <c r="F89" s="478">
        <f t="shared" si="16"/>
        <v>3870000</v>
      </c>
      <c r="G89" s="478">
        <f t="shared" si="16"/>
        <v>540000</v>
      </c>
      <c r="H89" s="478">
        <f t="shared" si="16"/>
        <v>38550000</v>
      </c>
      <c r="I89" s="478">
        <f t="shared" si="16"/>
        <v>1770000</v>
      </c>
      <c r="J89" s="478">
        <f t="shared" si="16"/>
        <v>1890000</v>
      </c>
    </row>
    <row r="90" spans="1:10" ht="45">
      <c r="A90" s="471"/>
      <c r="B90" s="131"/>
      <c r="C90" s="555" t="s">
        <v>476</v>
      </c>
      <c r="D90" s="733" t="s">
        <v>956</v>
      </c>
      <c r="E90" s="749">
        <f>SUM(F90:J90)</f>
        <v>3500000</v>
      </c>
      <c r="F90" s="749">
        <v>3500000</v>
      </c>
      <c r="G90" s="749">
        <f>'Ação 1.8.4  1 '!F26</f>
        <v>0</v>
      </c>
      <c r="H90" s="749">
        <f>'Ação 1.8.4  1 '!I26</f>
        <v>0</v>
      </c>
      <c r="I90" s="749">
        <f>'Ação 1.8.4  1 '!J26</f>
        <v>0</v>
      </c>
      <c r="J90" s="749">
        <f>'Ação 1.8.4  1 '!L26</f>
        <v>0</v>
      </c>
    </row>
    <row r="91" spans="1:10" ht="20.100000000000001" customHeight="1">
      <c r="A91" s="500"/>
      <c r="B91" s="501"/>
      <c r="C91" s="555" t="s">
        <v>477</v>
      </c>
      <c r="D91" s="748" t="s">
        <v>698</v>
      </c>
      <c r="E91" s="749">
        <f>SUM(F91:J91)</f>
        <v>38000000</v>
      </c>
      <c r="F91" s="749">
        <f>'Ação 1.8.4   2'!D26</f>
        <v>0</v>
      </c>
      <c r="G91" s="749">
        <f>'Ação 1.8.4   2'!F26</f>
        <v>0</v>
      </c>
      <c r="H91" s="749">
        <v>38000000</v>
      </c>
      <c r="I91" s="749">
        <f>'Ação 1.8.4   2'!J26</f>
        <v>0</v>
      </c>
      <c r="J91" s="749">
        <f>'Ação 1.8.4   2'!L26</f>
        <v>0</v>
      </c>
    </row>
    <row r="92" spans="1:10" ht="20.100000000000001" customHeight="1">
      <c r="A92" s="500"/>
      <c r="B92" s="501"/>
      <c r="C92" s="555" t="s">
        <v>478</v>
      </c>
      <c r="D92" s="748" t="s">
        <v>703</v>
      </c>
      <c r="E92" s="749">
        <f>SUM(F92:J92)</f>
        <v>2020000</v>
      </c>
      <c r="F92" s="749">
        <v>370000</v>
      </c>
      <c r="G92" s="749">
        <v>390000</v>
      </c>
      <c r="H92" s="749">
        <v>400000</v>
      </c>
      <c r="I92" s="749">
        <v>420000</v>
      </c>
      <c r="J92" s="749">
        <v>440000</v>
      </c>
    </row>
    <row r="93" spans="1:10" ht="20.100000000000001" customHeight="1">
      <c r="A93" s="500"/>
      <c r="B93" s="501"/>
      <c r="C93" s="555" t="s">
        <v>683</v>
      </c>
      <c r="D93" s="748" t="s">
        <v>793</v>
      </c>
      <c r="E93" s="749">
        <f>SUM(F93:J93)</f>
        <v>600000</v>
      </c>
      <c r="F93" s="749">
        <v>0</v>
      </c>
      <c r="G93" s="749">
        <v>150000</v>
      </c>
      <c r="H93" s="749">
        <v>150000</v>
      </c>
      <c r="I93" s="749">
        <v>150000</v>
      </c>
      <c r="J93" s="749">
        <v>150000</v>
      </c>
    </row>
    <row r="94" spans="1:10" ht="20.100000000000001" customHeight="1">
      <c r="A94" s="500"/>
      <c r="B94" s="501"/>
      <c r="C94" s="555" t="s">
        <v>792</v>
      </c>
      <c r="D94" s="748" t="s">
        <v>684</v>
      </c>
      <c r="E94" s="749">
        <f>SUM(F94:J94)</f>
        <v>2500000</v>
      </c>
      <c r="F94" s="749">
        <f>'Ação 1.8.4   5'!D26</f>
        <v>0</v>
      </c>
      <c r="G94" s="749">
        <f>'Ação 1.8.4   5'!F26</f>
        <v>0</v>
      </c>
      <c r="H94" s="749">
        <f>'Ação 1.8.4   5'!H26</f>
        <v>0</v>
      </c>
      <c r="I94" s="749">
        <v>1200000</v>
      </c>
      <c r="J94" s="749">
        <v>1300000</v>
      </c>
    </row>
    <row r="95" spans="1:10" ht="15" hidden="1" customHeight="1">
      <c r="A95" s="476" t="s">
        <v>480</v>
      </c>
      <c r="B95" s="477"/>
      <c r="C95" s="831" t="s">
        <v>481</v>
      </c>
      <c r="D95" s="832"/>
      <c r="E95" s="478"/>
      <c r="F95" s="478"/>
      <c r="G95" s="478"/>
      <c r="H95" s="478"/>
      <c r="I95" s="478"/>
      <c r="J95" s="478"/>
    </row>
    <row r="96" spans="1:10" hidden="1">
      <c r="A96" s="471"/>
      <c r="B96" s="131"/>
      <c r="C96" s="134"/>
      <c r="D96" s="489"/>
      <c r="E96" s="473"/>
      <c r="F96" s="473"/>
      <c r="G96" s="473"/>
      <c r="H96" s="473"/>
      <c r="I96" s="473"/>
      <c r="J96" s="473"/>
    </row>
    <row r="97" spans="1:10" hidden="1">
      <c r="A97" s="465" t="s">
        <v>192</v>
      </c>
      <c r="B97" s="466" t="s">
        <v>192</v>
      </c>
      <c r="C97" s="815" t="s">
        <v>482</v>
      </c>
      <c r="D97" s="816"/>
      <c r="E97" s="475">
        <f>E99+E101+E103</f>
        <v>0</v>
      </c>
      <c r="F97" s="475">
        <f t="shared" ref="F97:J97" si="17">F99+F101+F103</f>
        <v>0</v>
      </c>
      <c r="G97" s="475">
        <f t="shared" si="17"/>
        <v>0</v>
      </c>
      <c r="H97" s="475">
        <f t="shared" si="17"/>
        <v>0</v>
      </c>
      <c r="I97" s="475">
        <f t="shared" si="17"/>
        <v>0</v>
      </c>
      <c r="J97" s="475">
        <f t="shared" si="17"/>
        <v>0</v>
      </c>
    </row>
    <row r="98" spans="1:10" hidden="1">
      <c r="A98" s="465" t="s">
        <v>193</v>
      </c>
      <c r="B98" s="466" t="s">
        <v>417</v>
      </c>
      <c r="C98" s="813" t="s">
        <v>195</v>
      </c>
      <c r="D98" s="814"/>
      <c r="E98" s="467"/>
      <c r="F98" s="467"/>
      <c r="G98" s="467"/>
      <c r="H98" s="467"/>
      <c r="I98" s="467"/>
      <c r="J98" s="467"/>
    </row>
    <row r="99" spans="1:10" ht="30" hidden="1" customHeight="1">
      <c r="A99" s="476" t="s">
        <v>483</v>
      </c>
      <c r="B99" s="477"/>
      <c r="C99" s="829" t="s">
        <v>484</v>
      </c>
      <c r="D99" s="830"/>
      <c r="E99" s="486"/>
      <c r="F99" s="486"/>
      <c r="G99" s="486"/>
      <c r="H99" s="486"/>
      <c r="I99" s="486"/>
      <c r="J99" s="486"/>
    </row>
    <row r="100" spans="1:10" hidden="1">
      <c r="A100" s="471"/>
      <c r="B100" s="131"/>
      <c r="C100" s="487"/>
      <c r="D100" s="488"/>
      <c r="E100" s="473"/>
      <c r="F100" s="473"/>
      <c r="G100" s="473"/>
      <c r="H100" s="473"/>
      <c r="I100" s="473"/>
      <c r="J100" s="473"/>
    </row>
    <row r="101" spans="1:10" ht="15" hidden="1" customHeight="1">
      <c r="A101" s="476" t="s">
        <v>485</v>
      </c>
      <c r="B101" s="477"/>
      <c r="C101" s="829" t="s">
        <v>486</v>
      </c>
      <c r="D101" s="830"/>
      <c r="E101" s="486"/>
      <c r="F101" s="486"/>
      <c r="G101" s="486"/>
      <c r="H101" s="486"/>
      <c r="I101" s="486"/>
      <c r="J101" s="486"/>
    </row>
    <row r="102" spans="1:10" hidden="1">
      <c r="A102" s="471"/>
      <c r="B102" s="131"/>
      <c r="C102" s="487"/>
      <c r="D102" s="488"/>
      <c r="E102" s="473"/>
      <c r="F102" s="473"/>
      <c r="G102" s="473"/>
      <c r="H102" s="473"/>
      <c r="I102" s="473"/>
      <c r="J102" s="473"/>
    </row>
    <row r="103" spans="1:10" ht="30" hidden="1" customHeight="1">
      <c r="A103" s="476" t="s">
        <v>487</v>
      </c>
      <c r="B103" s="490"/>
      <c r="C103" s="829" t="s">
        <v>488</v>
      </c>
      <c r="D103" s="830"/>
      <c r="E103" s="486"/>
      <c r="F103" s="486"/>
      <c r="G103" s="486"/>
      <c r="H103" s="486"/>
      <c r="I103" s="486"/>
      <c r="J103" s="486"/>
    </row>
    <row r="104" spans="1:10" hidden="1">
      <c r="A104" s="471"/>
      <c r="B104" s="131"/>
      <c r="C104" s="487"/>
      <c r="D104" s="488"/>
      <c r="E104" s="473"/>
      <c r="F104" s="473"/>
      <c r="G104" s="473"/>
      <c r="H104" s="473"/>
      <c r="I104" s="473"/>
      <c r="J104" s="473"/>
    </row>
    <row r="105" spans="1:10" hidden="1">
      <c r="A105" s="465" t="s">
        <v>192</v>
      </c>
      <c r="B105" s="466" t="s">
        <v>192</v>
      </c>
      <c r="C105" s="813" t="s">
        <v>489</v>
      </c>
      <c r="D105" s="814"/>
      <c r="E105" s="467"/>
      <c r="F105" s="467"/>
      <c r="G105" s="467"/>
      <c r="H105" s="467"/>
      <c r="I105" s="467"/>
      <c r="J105" s="467"/>
    </row>
    <row r="106" spans="1:10" hidden="1">
      <c r="A106" s="465" t="s">
        <v>193</v>
      </c>
      <c r="B106" s="466" t="s">
        <v>417</v>
      </c>
      <c r="C106" s="813" t="s">
        <v>195</v>
      </c>
      <c r="D106" s="814"/>
      <c r="E106" s="467"/>
      <c r="F106" s="467"/>
      <c r="G106" s="467"/>
      <c r="H106" s="467"/>
      <c r="I106" s="467"/>
      <c r="J106" s="467"/>
    </row>
    <row r="107" spans="1:10" ht="30" hidden="1" customHeight="1">
      <c r="A107" s="476" t="s">
        <v>490</v>
      </c>
      <c r="B107" s="490"/>
      <c r="C107" s="829" t="s">
        <v>491</v>
      </c>
      <c r="D107" s="830"/>
      <c r="E107" s="486"/>
      <c r="F107" s="486"/>
      <c r="G107" s="486"/>
      <c r="H107" s="486"/>
      <c r="I107" s="486"/>
      <c r="J107" s="486"/>
    </row>
    <row r="108" spans="1:10" ht="15" hidden="1" customHeight="1">
      <c r="A108" s="471"/>
      <c r="B108" s="131"/>
      <c r="C108" s="131"/>
      <c r="D108" s="474"/>
      <c r="E108" s="473"/>
      <c r="F108" s="473"/>
      <c r="G108" s="473"/>
      <c r="H108" s="473"/>
      <c r="I108" s="473"/>
      <c r="J108" s="473"/>
    </row>
    <row r="109" spans="1:10" ht="30" hidden="1" customHeight="1">
      <c r="A109" s="476" t="s">
        <v>492</v>
      </c>
      <c r="B109" s="490" t="s">
        <v>784</v>
      </c>
      <c r="C109" s="829" t="s">
        <v>493</v>
      </c>
      <c r="D109" s="830"/>
      <c r="E109" s="486"/>
      <c r="F109" s="486"/>
      <c r="G109" s="486"/>
      <c r="H109" s="486"/>
      <c r="I109" s="486"/>
      <c r="J109" s="486"/>
    </row>
    <row r="110" spans="1:10" hidden="1">
      <c r="A110" s="471"/>
      <c r="B110" s="131"/>
      <c r="C110" s="131"/>
      <c r="D110" s="488"/>
      <c r="E110" s="473"/>
      <c r="F110" s="473"/>
      <c r="G110" s="473"/>
      <c r="H110" s="473"/>
      <c r="I110" s="473"/>
      <c r="J110" s="473"/>
    </row>
    <row r="111" spans="1:10" ht="30" hidden="1" customHeight="1">
      <c r="A111" s="476" t="s">
        <v>494</v>
      </c>
      <c r="B111" s="490"/>
      <c r="C111" s="829" t="s">
        <v>495</v>
      </c>
      <c r="D111" s="830"/>
      <c r="E111" s="486"/>
      <c r="F111" s="486"/>
      <c r="G111" s="486"/>
      <c r="H111" s="486"/>
      <c r="I111" s="486"/>
      <c r="J111" s="486"/>
    </row>
    <row r="112" spans="1:10" hidden="1">
      <c r="A112" s="471"/>
      <c r="B112" s="131"/>
      <c r="C112" s="131"/>
      <c r="D112" s="488"/>
      <c r="E112" s="473"/>
      <c r="F112" s="473"/>
      <c r="G112" s="473"/>
      <c r="H112" s="473"/>
      <c r="I112" s="473"/>
      <c r="J112" s="473"/>
    </row>
    <row r="113" spans="1:10" ht="30" hidden="1" customHeight="1">
      <c r="A113" s="476" t="s">
        <v>496</v>
      </c>
      <c r="B113" s="490"/>
      <c r="C113" s="829" t="s">
        <v>497</v>
      </c>
      <c r="D113" s="830"/>
      <c r="E113" s="486"/>
      <c r="F113" s="486"/>
      <c r="G113" s="486"/>
      <c r="H113" s="486"/>
      <c r="I113" s="486"/>
      <c r="J113" s="486"/>
    </row>
    <row r="114" spans="1:10" hidden="1">
      <c r="A114" s="471"/>
      <c r="B114" s="131"/>
      <c r="C114" s="134"/>
      <c r="D114" s="489"/>
      <c r="E114" s="473"/>
      <c r="F114" s="473"/>
      <c r="G114" s="473"/>
      <c r="H114" s="473"/>
      <c r="I114" s="473"/>
      <c r="J114" s="473"/>
    </row>
    <row r="115" spans="1:10">
      <c r="A115" s="465" t="s">
        <v>192</v>
      </c>
      <c r="B115" s="466" t="s">
        <v>192</v>
      </c>
      <c r="C115" s="835" t="s">
        <v>498</v>
      </c>
      <c r="D115" s="836"/>
      <c r="E115" s="475">
        <f t="shared" ref="E115:J115" si="18">E117+E119+E121+E123</f>
        <v>3095000</v>
      </c>
      <c r="F115" s="475">
        <f t="shared" si="18"/>
        <v>485000</v>
      </c>
      <c r="G115" s="475">
        <f t="shared" si="18"/>
        <v>965000</v>
      </c>
      <c r="H115" s="475">
        <f t="shared" si="18"/>
        <v>525000</v>
      </c>
      <c r="I115" s="475">
        <f t="shared" si="18"/>
        <v>550000</v>
      </c>
      <c r="J115" s="475">
        <f t="shared" si="18"/>
        <v>570000</v>
      </c>
    </row>
    <row r="116" spans="1:10">
      <c r="A116" s="465" t="s">
        <v>193</v>
      </c>
      <c r="B116" s="466" t="s">
        <v>417</v>
      </c>
      <c r="C116" s="813" t="s">
        <v>195</v>
      </c>
      <c r="D116" s="814"/>
      <c r="E116" s="467"/>
      <c r="F116" s="467"/>
      <c r="G116" s="467"/>
      <c r="H116" s="467"/>
      <c r="I116" s="467"/>
      <c r="J116" s="467"/>
    </row>
    <row r="117" spans="1:10" ht="20.100000000000001" customHeight="1">
      <c r="A117" s="476" t="s">
        <v>499</v>
      </c>
      <c r="B117" s="477" t="s">
        <v>713</v>
      </c>
      <c r="C117" s="829" t="s">
        <v>500</v>
      </c>
      <c r="D117" s="830"/>
      <c r="E117" s="478">
        <f>E118</f>
        <v>2880000</v>
      </c>
      <c r="F117" s="478">
        <f t="shared" ref="F117:J117" si="19">F118</f>
        <v>460000</v>
      </c>
      <c r="G117" s="478">
        <f t="shared" si="19"/>
        <v>920000</v>
      </c>
      <c r="H117" s="478">
        <f t="shared" si="19"/>
        <v>480000</v>
      </c>
      <c r="I117" s="478">
        <f t="shared" si="19"/>
        <v>500000</v>
      </c>
      <c r="J117" s="478">
        <f t="shared" si="19"/>
        <v>520000</v>
      </c>
    </row>
    <row r="118" spans="1:10" ht="20.100000000000001" customHeight="1">
      <c r="A118" s="500"/>
      <c r="B118" s="501"/>
      <c r="C118" s="555" t="s">
        <v>501</v>
      </c>
      <c r="D118" s="748" t="s">
        <v>502</v>
      </c>
      <c r="E118" s="749">
        <f>SUM(F118:J118)</f>
        <v>2880000</v>
      </c>
      <c r="F118" s="749">
        <v>460000</v>
      </c>
      <c r="G118" s="749">
        <v>920000</v>
      </c>
      <c r="H118" s="749">
        <v>480000</v>
      </c>
      <c r="I118" s="749">
        <v>500000</v>
      </c>
      <c r="J118" s="749">
        <v>520000</v>
      </c>
    </row>
    <row r="119" spans="1:10" ht="20.100000000000001" hidden="1" customHeight="1">
      <c r="A119" s="476" t="s">
        <v>504</v>
      </c>
      <c r="B119" s="477"/>
      <c r="C119" s="829" t="s">
        <v>505</v>
      </c>
      <c r="D119" s="830"/>
      <c r="E119" s="478">
        <f>E120</f>
        <v>0</v>
      </c>
      <c r="F119" s="478">
        <f t="shared" ref="F119:J119" si="20">F120</f>
        <v>0</v>
      </c>
      <c r="G119" s="478">
        <f t="shared" si="20"/>
        <v>0</v>
      </c>
      <c r="H119" s="478">
        <f t="shared" si="20"/>
        <v>0</v>
      </c>
      <c r="I119" s="478">
        <f t="shared" si="20"/>
        <v>0</v>
      </c>
      <c r="J119" s="478">
        <f t="shared" si="20"/>
        <v>0</v>
      </c>
    </row>
    <row r="120" spans="1:10" ht="20.100000000000001" hidden="1" customHeight="1">
      <c r="A120" s="471"/>
      <c r="B120" s="131"/>
      <c r="C120" s="131"/>
      <c r="D120" s="474"/>
      <c r="E120" s="473"/>
      <c r="F120" s="473"/>
      <c r="G120" s="473"/>
      <c r="H120" s="473"/>
      <c r="I120" s="473"/>
      <c r="J120" s="473"/>
    </row>
    <row r="121" spans="1:10" ht="20.100000000000001" hidden="1" customHeight="1">
      <c r="A121" s="476" t="s">
        <v>506</v>
      </c>
      <c r="B121" s="477" t="s">
        <v>785</v>
      </c>
      <c r="C121" s="829" t="s">
        <v>507</v>
      </c>
      <c r="D121" s="830"/>
      <c r="E121" s="478">
        <f>E122</f>
        <v>0</v>
      </c>
      <c r="F121" s="478">
        <f t="shared" ref="F121:J121" si="21">F122</f>
        <v>0</v>
      </c>
      <c r="G121" s="478">
        <f t="shared" si="21"/>
        <v>0</v>
      </c>
      <c r="H121" s="478">
        <f t="shared" si="21"/>
        <v>0</v>
      </c>
      <c r="I121" s="478">
        <f t="shared" si="21"/>
        <v>0</v>
      </c>
      <c r="J121" s="478">
        <f t="shared" si="21"/>
        <v>0</v>
      </c>
    </row>
    <row r="122" spans="1:10" ht="20.100000000000001" hidden="1" customHeight="1">
      <c r="A122" s="471"/>
      <c r="B122" s="131"/>
    </row>
    <row r="123" spans="1:10" ht="20.100000000000001" customHeight="1">
      <c r="A123" s="476" t="s">
        <v>508</v>
      </c>
      <c r="B123" s="477" t="s">
        <v>736</v>
      </c>
      <c r="C123" s="829" t="s">
        <v>509</v>
      </c>
      <c r="D123" s="830"/>
      <c r="E123" s="478">
        <f>E124</f>
        <v>215000</v>
      </c>
      <c r="F123" s="478">
        <f t="shared" ref="F123:J123" si="22">F124</f>
        <v>25000</v>
      </c>
      <c r="G123" s="478">
        <f t="shared" si="22"/>
        <v>45000</v>
      </c>
      <c r="H123" s="478">
        <f t="shared" si="22"/>
        <v>45000</v>
      </c>
      <c r="I123" s="478">
        <f t="shared" si="22"/>
        <v>50000</v>
      </c>
      <c r="J123" s="478">
        <f t="shared" si="22"/>
        <v>50000</v>
      </c>
    </row>
    <row r="124" spans="1:10" ht="20.100000000000001" customHeight="1">
      <c r="A124" s="500"/>
      <c r="B124" s="501"/>
      <c r="C124" s="555" t="s">
        <v>510</v>
      </c>
      <c r="D124" s="748" t="s">
        <v>511</v>
      </c>
      <c r="E124" s="749">
        <f>SUM(F124:J124)</f>
        <v>215000</v>
      </c>
      <c r="F124" s="749">
        <v>25000</v>
      </c>
      <c r="G124" s="749">
        <v>45000</v>
      </c>
      <c r="H124" s="749">
        <v>45000</v>
      </c>
      <c r="I124" s="749">
        <v>50000</v>
      </c>
      <c r="J124" s="749">
        <v>50000</v>
      </c>
    </row>
    <row r="125" spans="1:10" ht="15" customHeight="1"/>
    <row r="126" spans="1:10" ht="20.100000000000001" customHeight="1">
      <c r="A126" s="491" t="s">
        <v>190</v>
      </c>
      <c r="B126" s="817" t="s">
        <v>512</v>
      </c>
      <c r="C126" s="818"/>
      <c r="D126" s="818"/>
      <c r="E126" s="492">
        <f t="shared" ref="E126:J126" si="23">E127+E149+E160</f>
        <v>72000000</v>
      </c>
      <c r="F126" s="492">
        <f t="shared" si="23"/>
        <v>32740000</v>
      </c>
      <c r="G126" s="492">
        <f t="shared" si="23"/>
        <v>21660000</v>
      </c>
      <c r="H126" s="492">
        <f t="shared" si="23"/>
        <v>5910000</v>
      </c>
      <c r="I126" s="492">
        <f t="shared" si="23"/>
        <v>6190000</v>
      </c>
      <c r="J126" s="492">
        <f t="shared" si="23"/>
        <v>5500000</v>
      </c>
    </row>
    <row r="127" spans="1:10" ht="20.100000000000001" customHeight="1">
      <c r="A127" s="493" t="s">
        <v>192</v>
      </c>
      <c r="B127" s="494" t="s">
        <v>192</v>
      </c>
      <c r="C127" s="819" t="s">
        <v>513</v>
      </c>
      <c r="D127" s="820"/>
      <c r="E127" s="495">
        <f>E129+E131</f>
        <v>24280000</v>
      </c>
      <c r="F127" s="495">
        <f t="shared" ref="F127:J127" si="24">F129+F131</f>
        <v>16860000</v>
      </c>
      <c r="G127" s="495">
        <f t="shared" si="24"/>
        <v>2050000</v>
      </c>
      <c r="H127" s="495">
        <f t="shared" si="24"/>
        <v>2080000</v>
      </c>
      <c r="I127" s="495">
        <f t="shared" si="24"/>
        <v>2120000</v>
      </c>
      <c r="J127" s="495">
        <f t="shared" si="24"/>
        <v>1170000</v>
      </c>
    </row>
    <row r="128" spans="1:10" ht="20.100000000000001" customHeight="1">
      <c r="A128" s="493" t="s">
        <v>193</v>
      </c>
      <c r="B128" s="494" t="s">
        <v>417</v>
      </c>
      <c r="C128" s="837" t="s">
        <v>195</v>
      </c>
      <c r="D128" s="838"/>
      <c r="E128" s="496"/>
      <c r="F128" s="496"/>
      <c r="G128" s="496"/>
      <c r="H128" s="496"/>
      <c r="I128" s="496"/>
      <c r="J128" s="496"/>
    </row>
    <row r="129" spans="1:10" ht="20.100000000000001" customHeight="1">
      <c r="A129" s="497" t="s">
        <v>514</v>
      </c>
      <c r="B129" s="498" t="s">
        <v>751</v>
      </c>
      <c r="C129" s="839" t="s">
        <v>515</v>
      </c>
      <c r="D129" s="840"/>
      <c r="E129" s="499">
        <f>E130</f>
        <v>90000</v>
      </c>
      <c r="F129" s="499">
        <f t="shared" ref="F129:J129" si="25">F130</f>
        <v>90000</v>
      </c>
      <c r="G129" s="499">
        <f t="shared" si="25"/>
        <v>0</v>
      </c>
      <c r="H129" s="499">
        <f t="shared" si="25"/>
        <v>0</v>
      </c>
      <c r="I129" s="499">
        <f t="shared" si="25"/>
        <v>0</v>
      </c>
      <c r="J129" s="499">
        <f t="shared" si="25"/>
        <v>0</v>
      </c>
    </row>
    <row r="130" spans="1:10" ht="20.100000000000001" customHeight="1">
      <c r="A130" s="500"/>
      <c r="B130" s="501"/>
      <c r="C130" s="555" t="s">
        <v>516</v>
      </c>
      <c r="D130" s="748" t="s">
        <v>517</v>
      </c>
      <c r="E130" s="749">
        <f>SUM(F130:J130)</f>
        <v>90000</v>
      </c>
      <c r="F130" s="749">
        <v>90000</v>
      </c>
      <c r="G130" s="749">
        <v>0</v>
      </c>
      <c r="H130" s="749">
        <v>0</v>
      </c>
      <c r="I130" s="749">
        <v>0</v>
      </c>
      <c r="J130" s="749">
        <v>0</v>
      </c>
    </row>
    <row r="131" spans="1:10" ht="30" customHeight="1">
      <c r="A131" s="502" t="s">
        <v>518</v>
      </c>
      <c r="B131" s="503" t="s">
        <v>786</v>
      </c>
      <c r="C131" s="841" t="s">
        <v>519</v>
      </c>
      <c r="D131" s="842"/>
      <c r="E131" s="499">
        <f t="shared" ref="E131:J131" si="26">E132+E133+E135+E136+E137+E138</f>
        <v>24190000</v>
      </c>
      <c r="F131" s="499">
        <f t="shared" si="26"/>
        <v>16770000</v>
      </c>
      <c r="G131" s="499">
        <f t="shared" si="26"/>
        <v>2050000</v>
      </c>
      <c r="H131" s="499">
        <f t="shared" si="26"/>
        <v>2080000</v>
      </c>
      <c r="I131" s="499">
        <f t="shared" si="26"/>
        <v>2120000</v>
      </c>
      <c r="J131" s="499">
        <f t="shared" si="26"/>
        <v>1170000</v>
      </c>
    </row>
    <row r="132" spans="1:10" ht="20.100000000000001" customHeight="1">
      <c r="A132" s="500"/>
      <c r="B132" s="501"/>
      <c r="C132" s="555" t="s">
        <v>520</v>
      </c>
      <c r="D132" s="748" t="s">
        <v>521</v>
      </c>
      <c r="E132" s="749">
        <f>SUM(F132:J132)</f>
        <v>15000000</v>
      </c>
      <c r="F132" s="749">
        <v>15000000</v>
      </c>
      <c r="G132" s="749">
        <v>0</v>
      </c>
      <c r="H132" s="749">
        <v>0</v>
      </c>
      <c r="I132" s="749">
        <v>0</v>
      </c>
      <c r="J132" s="749">
        <v>0</v>
      </c>
    </row>
    <row r="133" spans="1:10" ht="20.100000000000001" customHeight="1">
      <c r="A133" s="500"/>
      <c r="B133" s="501"/>
      <c r="C133" s="555" t="s">
        <v>522</v>
      </c>
      <c r="D133" s="748" t="s">
        <v>523</v>
      </c>
      <c r="E133" s="749">
        <f t="shared" ref="E133:E138" si="27">SUM(F133:J133)</f>
        <v>0</v>
      </c>
      <c r="F133" s="749">
        <v>0</v>
      </c>
      <c r="G133" s="749">
        <v>0</v>
      </c>
      <c r="H133" s="749">
        <v>0</v>
      </c>
      <c r="I133" s="749">
        <v>0</v>
      </c>
      <c r="J133" s="749">
        <v>0</v>
      </c>
    </row>
    <row r="134" spans="1:10" ht="20.100000000000001" customHeight="1">
      <c r="A134" s="491" t="s">
        <v>190</v>
      </c>
      <c r="B134" s="817" t="s">
        <v>512</v>
      </c>
      <c r="C134" s="818"/>
      <c r="D134" s="818"/>
      <c r="E134" s="492"/>
      <c r="F134" s="492"/>
      <c r="G134" s="492"/>
      <c r="H134" s="492"/>
      <c r="I134" s="492"/>
      <c r="J134" s="492"/>
    </row>
    <row r="135" spans="1:10" ht="30">
      <c r="A135" s="500"/>
      <c r="B135" s="501"/>
      <c r="C135" s="555" t="s">
        <v>524</v>
      </c>
      <c r="D135" s="748" t="s">
        <v>525</v>
      </c>
      <c r="E135" s="749">
        <f t="shared" si="27"/>
        <v>4000000</v>
      </c>
      <c r="F135" s="749">
        <v>1000000</v>
      </c>
      <c r="G135" s="749">
        <v>1000000</v>
      </c>
      <c r="H135" s="749">
        <v>1000000</v>
      </c>
      <c r="I135" s="749">
        <v>1000000</v>
      </c>
      <c r="J135" s="749">
        <v>0</v>
      </c>
    </row>
    <row r="136" spans="1:10" ht="20.100000000000001" customHeight="1">
      <c r="A136" s="500"/>
      <c r="B136" s="501"/>
      <c r="C136" s="555" t="s">
        <v>526</v>
      </c>
      <c r="D136" s="748" t="s">
        <v>527</v>
      </c>
      <c r="E136" s="749">
        <f t="shared" si="27"/>
        <v>2020000</v>
      </c>
      <c r="F136" s="749">
        <f>F92</f>
        <v>370000</v>
      </c>
      <c r="G136" s="749">
        <f t="shared" ref="G136:J136" si="28">G92</f>
        <v>390000</v>
      </c>
      <c r="H136" s="749">
        <f t="shared" si="28"/>
        <v>400000</v>
      </c>
      <c r="I136" s="749">
        <f t="shared" si="28"/>
        <v>420000</v>
      </c>
      <c r="J136" s="749">
        <f t="shared" si="28"/>
        <v>440000</v>
      </c>
    </row>
    <row r="137" spans="1:10" ht="20.100000000000001" customHeight="1">
      <c r="A137" s="500"/>
      <c r="B137" s="501"/>
      <c r="C137" s="555" t="s">
        <v>528</v>
      </c>
      <c r="D137" s="748" t="s">
        <v>529</v>
      </c>
      <c r="E137" s="749">
        <f t="shared" si="27"/>
        <v>2420000</v>
      </c>
      <c r="F137" s="749">
        <v>250000</v>
      </c>
      <c r="G137" s="749">
        <v>510000</v>
      </c>
      <c r="H137" s="749">
        <v>530000</v>
      </c>
      <c r="I137" s="749">
        <v>550000</v>
      </c>
      <c r="J137" s="749">
        <v>580000</v>
      </c>
    </row>
    <row r="138" spans="1:10" ht="20.100000000000001" customHeight="1">
      <c r="A138" s="500"/>
      <c r="B138" s="501"/>
      <c r="C138" s="555" t="s">
        <v>530</v>
      </c>
      <c r="D138" s="748" t="s">
        <v>531</v>
      </c>
      <c r="E138" s="749">
        <f t="shared" si="27"/>
        <v>750000</v>
      </c>
      <c r="F138" s="749">
        <v>150000</v>
      </c>
      <c r="G138" s="749">
        <f>G93</f>
        <v>150000</v>
      </c>
      <c r="H138" s="749">
        <f>H93</f>
        <v>150000</v>
      </c>
      <c r="I138" s="749">
        <f>I93</f>
        <v>150000</v>
      </c>
      <c r="J138" s="749">
        <f>J93</f>
        <v>150000</v>
      </c>
    </row>
    <row r="139" spans="1:10" ht="30" hidden="1" customHeight="1">
      <c r="A139" s="497" t="s">
        <v>532</v>
      </c>
      <c r="B139" s="498"/>
      <c r="C139" s="843" t="s">
        <v>533</v>
      </c>
      <c r="D139" s="844"/>
      <c r="E139" s="499"/>
      <c r="F139" s="499"/>
      <c r="G139" s="499"/>
      <c r="H139" s="499"/>
      <c r="I139" s="499"/>
      <c r="J139" s="499"/>
    </row>
    <row r="140" spans="1:10" hidden="1">
      <c r="A140" s="500"/>
      <c r="B140" s="501"/>
      <c r="C140" s="501"/>
      <c r="D140" s="504"/>
      <c r="E140" s="473"/>
      <c r="F140" s="473"/>
      <c r="G140" s="473"/>
      <c r="H140" s="473"/>
      <c r="I140" s="473"/>
      <c r="J140" s="473"/>
    </row>
    <row r="141" spans="1:10" ht="30" hidden="1" customHeight="1">
      <c r="A141" s="497" t="s">
        <v>534</v>
      </c>
      <c r="B141" s="498"/>
      <c r="C141" s="843" t="s">
        <v>535</v>
      </c>
      <c r="D141" s="844"/>
      <c r="E141" s="499"/>
      <c r="F141" s="499"/>
      <c r="G141" s="499"/>
      <c r="H141" s="499"/>
      <c r="I141" s="499"/>
      <c r="J141" s="499"/>
    </row>
    <row r="142" spans="1:10" hidden="1">
      <c r="A142" s="500"/>
      <c r="B142" s="501"/>
      <c r="C142" s="501"/>
      <c r="D142" s="505"/>
      <c r="E142" s="473"/>
      <c r="F142" s="473"/>
      <c r="G142" s="473"/>
      <c r="H142" s="473"/>
      <c r="I142" s="473"/>
      <c r="J142" s="473"/>
    </row>
    <row r="143" spans="1:10" ht="30" hidden="1" customHeight="1">
      <c r="A143" s="497" t="s">
        <v>536</v>
      </c>
      <c r="B143" s="498"/>
      <c r="C143" s="843" t="s">
        <v>537</v>
      </c>
      <c r="D143" s="844"/>
      <c r="E143" s="499"/>
      <c r="F143" s="499"/>
      <c r="G143" s="499"/>
      <c r="H143" s="499"/>
      <c r="I143" s="499"/>
      <c r="J143" s="499"/>
    </row>
    <row r="144" spans="1:10" hidden="1">
      <c r="A144" s="500"/>
      <c r="B144" s="501"/>
      <c r="C144" s="501"/>
      <c r="D144" s="505"/>
      <c r="E144" s="473"/>
      <c r="F144" s="473"/>
      <c r="G144" s="473"/>
      <c r="H144" s="473"/>
      <c r="I144" s="473"/>
      <c r="J144" s="473"/>
    </row>
    <row r="145" spans="1:10" ht="30" hidden="1" customHeight="1">
      <c r="A145" s="497" t="s">
        <v>538</v>
      </c>
      <c r="B145" s="498"/>
      <c r="C145" s="843" t="s">
        <v>539</v>
      </c>
      <c r="D145" s="844"/>
      <c r="E145" s="499"/>
      <c r="F145" s="499"/>
      <c r="G145" s="499"/>
      <c r="H145" s="499"/>
      <c r="I145" s="499"/>
      <c r="J145" s="499"/>
    </row>
    <row r="146" spans="1:10" hidden="1">
      <c r="A146" s="500"/>
      <c r="B146" s="501"/>
      <c r="C146" s="501"/>
      <c r="D146" s="505"/>
      <c r="E146" s="473"/>
      <c r="F146" s="473"/>
      <c r="G146" s="473"/>
      <c r="H146" s="473"/>
      <c r="I146" s="473"/>
      <c r="J146" s="473"/>
    </row>
    <row r="147" spans="1:10" ht="30" hidden="1" customHeight="1">
      <c r="A147" s="497" t="s">
        <v>540</v>
      </c>
      <c r="B147" s="498"/>
      <c r="C147" s="843" t="s">
        <v>541</v>
      </c>
      <c r="D147" s="844"/>
      <c r="E147" s="499"/>
      <c r="F147" s="499"/>
      <c r="G147" s="499"/>
      <c r="H147" s="499"/>
      <c r="I147" s="499"/>
      <c r="J147" s="499"/>
    </row>
    <row r="148" spans="1:10" hidden="1">
      <c r="A148" s="500"/>
      <c r="B148" s="501"/>
      <c r="C148" s="501"/>
      <c r="D148" s="615"/>
      <c r="E148" s="473"/>
      <c r="F148" s="473"/>
      <c r="G148" s="473"/>
      <c r="H148" s="473"/>
      <c r="I148" s="473"/>
      <c r="J148" s="473"/>
    </row>
    <row r="149" spans="1:10" ht="20.100000000000001" customHeight="1">
      <c r="A149" s="506" t="s">
        <v>192</v>
      </c>
      <c r="B149" s="494" t="s">
        <v>192</v>
      </c>
      <c r="C149" s="805" t="s">
        <v>542</v>
      </c>
      <c r="D149" s="806"/>
      <c r="E149" s="495">
        <f>E151+E154+E156+E158</f>
        <v>5250000</v>
      </c>
      <c r="F149" s="495">
        <f t="shared" ref="F149:J149" si="29">F151+F154+F156+F158</f>
        <v>250000</v>
      </c>
      <c r="G149" s="495">
        <f t="shared" si="29"/>
        <v>3500000</v>
      </c>
      <c r="H149" s="495">
        <f t="shared" si="29"/>
        <v>500000</v>
      </c>
      <c r="I149" s="495">
        <f t="shared" si="29"/>
        <v>500000</v>
      </c>
      <c r="J149" s="495">
        <f t="shared" si="29"/>
        <v>500000</v>
      </c>
    </row>
    <row r="150" spans="1:10" ht="20.100000000000001" customHeight="1">
      <c r="A150" s="506" t="s">
        <v>193</v>
      </c>
      <c r="B150" s="494" t="s">
        <v>417</v>
      </c>
      <c r="C150" s="805" t="s">
        <v>195</v>
      </c>
      <c r="D150" s="806"/>
      <c r="E150" s="495"/>
      <c r="F150" s="495"/>
      <c r="G150" s="495"/>
      <c r="H150" s="495"/>
      <c r="I150" s="495"/>
      <c r="J150" s="495"/>
    </row>
    <row r="151" spans="1:10" ht="30" customHeight="1">
      <c r="A151" s="497" t="s">
        <v>543</v>
      </c>
      <c r="B151" s="498" t="s">
        <v>787</v>
      </c>
      <c r="C151" s="843" t="s">
        <v>544</v>
      </c>
      <c r="D151" s="844"/>
      <c r="E151" s="499">
        <f>E152+E153</f>
        <v>5250000</v>
      </c>
      <c r="F151" s="499">
        <f t="shared" ref="F151:J151" si="30">F152+F153</f>
        <v>250000</v>
      </c>
      <c r="G151" s="499">
        <f t="shared" si="30"/>
        <v>3500000</v>
      </c>
      <c r="H151" s="499">
        <f t="shared" si="30"/>
        <v>500000</v>
      </c>
      <c r="I151" s="499">
        <f t="shared" si="30"/>
        <v>500000</v>
      </c>
      <c r="J151" s="499">
        <f t="shared" si="30"/>
        <v>500000</v>
      </c>
    </row>
    <row r="152" spans="1:10" ht="30">
      <c r="A152" s="500"/>
      <c r="B152" s="501"/>
      <c r="C152" s="555" t="s">
        <v>545</v>
      </c>
      <c r="D152" s="748" t="s">
        <v>546</v>
      </c>
      <c r="E152" s="749">
        <f t="shared" ref="E152:E153" si="31">SUM(F152:J152)</f>
        <v>2250000</v>
      </c>
      <c r="F152" s="749">
        <v>250000</v>
      </c>
      <c r="G152" s="749">
        <v>500000</v>
      </c>
      <c r="H152" s="749">
        <v>500000</v>
      </c>
      <c r="I152" s="749">
        <v>500000</v>
      </c>
      <c r="J152" s="749">
        <v>500000</v>
      </c>
    </row>
    <row r="153" spans="1:10" ht="30">
      <c r="A153" s="500"/>
      <c r="B153" s="501"/>
      <c r="C153" s="555" t="s">
        <v>547</v>
      </c>
      <c r="D153" s="748" t="s">
        <v>548</v>
      </c>
      <c r="E153" s="749">
        <f t="shared" si="31"/>
        <v>3000000</v>
      </c>
      <c r="F153" s="749">
        <v>0</v>
      </c>
      <c r="G153" s="749">
        <v>3000000</v>
      </c>
      <c r="H153" s="749">
        <v>0</v>
      </c>
      <c r="I153" s="749">
        <v>0</v>
      </c>
      <c r="J153" s="749">
        <v>0</v>
      </c>
    </row>
    <row r="154" spans="1:10" ht="20.100000000000001" hidden="1" customHeight="1">
      <c r="A154" s="497" t="s">
        <v>549</v>
      </c>
      <c r="B154" s="498"/>
      <c r="C154" s="843" t="s">
        <v>550</v>
      </c>
      <c r="D154" s="844"/>
      <c r="E154" s="499">
        <f>E155</f>
        <v>0</v>
      </c>
      <c r="F154" s="499">
        <f t="shared" ref="F154:J154" si="32">F155</f>
        <v>0</v>
      </c>
      <c r="G154" s="499">
        <f t="shared" si="32"/>
        <v>0</v>
      </c>
      <c r="H154" s="499">
        <f t="shared" si="32"/>
        <v>0</v>
      </c>
      <c r="I154" s="499">
        <f t="shared" si="32"/>
        <v>0</v>
      </c>
      <c r="J154" s="499">
        <f t="shared" si="32"/>
        <v>0</v>
      </c>
    </row>
    <row r="155" spans="1:10" ht="15" hidden="1" customHeight="1">
      <c r="A155" s="500"/>
      <c r="B155" s="501"/>
      <c r="C155" s="479" t="s">
        <v>551</v>
      </c>
      <c r="D155" s="468" t="s">
        <v>552</v>
      </c>
      <c r="E155" s="480">
        <f t="shared" ref="E155" si="33">SUM(F155:J155)</f>
        <v>0</v>
      </c>
      <c r="F155" s="480">
        <v>0</v>
      </c>
      <c r="G155" s="480">
        <v>0</v>
      </c>
      <c r="H155" s="480">
        <v>0</v>
      </c>
      <c r="I155" s="480">
        <v>0</v>
      </c>
      <c r="J155" s="480">
        <v>0</v>
      </c>
    </row>
    <row r="156" spans="1:10" ht="20.100000000000001" hidden="1" customHeight="1">
      <c r="A156" s="497" t="s">
        <v>553</v>
      </c>
      <c r="B156" s="498"/>
      <c r="C156" s="843" t="s">
        <v>554</v>
      </c>
      <c r="D156" s="844"/>
      <c r="E156" s="499">
        <f>E157</f>
        <v>0</v>
      </c>
      <c r="F156" s="499">
        <f t="shared" ref="F156:J158" si="34">F157</f>
        <v>0</v>
      </c>
      <c r="G156" s="499">
        <f t="shared" si="34"/>
        <v>0</v>
      </c>
      <c r="H156" s="499">
        <f t="shared" si="34"/>
        <v>0</v>
      </c>
      <c r="I156" s="499">
        <f t="shared" si="34"/>
        <v>0</v>
      </c>
      <c r="J156" s="499">
        <f t="shared" si="34"/>
        <v>0</v>
      </c>
    </row>
    <row r="157" spans="1:10" hidden="1">
      <c r="A157" s="500"/>
      <c r="B157" s="501"/>
      <c r="C157" s="479" t="s">
        <v>555</v>
      </c>
      <c r="D157" s="485" t="s">
        <v>556</v>
      </c>
      <c r="E157" s="480">
        <f t="shared" ref="E157" si="35">SUM(F157:J157)</f>
        <v>0</v>
      </c>
      <c r="F157" s="480">
        <v>0</v>
      </c>
      <c r="G157" s="480">
        <v>0</v>
      </c>
      <c r="H157" s="480">
        <v>0</v>
      </c>
      <c r="I157" s="480">
        <v>0</v>
      </c>
      <c r="J157" s="480">
        <v>0</v>
      </c>
    </row>
    <row r="158" spans="1:10" ht="30" hidden="1" customHeight="1">
      <c r="A158" s="497" t="s">
        <v>557</v>
      </c>
      <c r="B158" s="498"/>
      <c r="C158" s="843" t="s">
        <v>558</v>
      </c>
      <c r="D158" s="844"/>
      <c r="E158" s="499">
        <f>E159</f>
        <v>0</v>
      </c>
      <c r="F158" s="499">
        <f t="shared" si="34"/>
        <v>0</v>
      </c>
      <c r="G158" s="499">
        <f t="shared" si="34"/>
        <v>0</v>
      </c>
      <c r="H158" s="499">
        <f t="shared" si="34"/>
        <v>0</v>
      </c>
      <c r="I158" s="499">
        <f t="shared" si="34"/>
        <v>0</v>
      </c>
      <c r="J158" s="499">
        <f t="shared" si="34"/>
        <v>0</v>
      </c>
    </row>
    <row r="159" spans="1:10" hidden="1">
      <c r="A159" s="500"/>
      <c r="B159" s="501"/>
      <c r="C159" s="479" t="s">
        <v>555</v>
      </c>
      <c r="D159" s="485" t="s">
        <v>559</v>
      </c>
      <c r="E159" s="480">
        <f t="shared" ref="E159" si="36">SUM(F159:J159)</f>
        <v>0</v>
      </c>
      <c r="F159" s="480">
        <v>0</v>
      </c>
      <c r="G159" s="480">
        <v>0</v>
      </c>
      <c r="H159" s="480">
        <v>0</v>
      </c>
      <c r="I159" s="480">
        <v>0</v>
      </c>
      <c r="J159" s="480">
        <v>0</v>
      </c>
    </row>
    <row r="160" spans="1:10">
      <c r="A160" s="506" t="s">
        <v>192</v>
      </c>
      <c r="B160" s="494" t="s">
        <v>192</v>
      </c>
      <c r="C160" s="805" t="s">
        <v>560</v>
      </c>
      <c r="D160" s="806"/>
      <c r="E160" s="495">
        <f t="shared" ref="E160:J160" si="37">E162+E164+E166</f>
        <v>42470000</v>
      </c>
      <c r="F160" s="495">
        <f t="shared" si="37"/>
        <v>15630000</v>
      </c>
      <c r="G160" s="495">
        <f t="shared" si="37"/>
        <v>16110000</v>
      </c>
      <c r="H160" s="495">
        <f t="shared" si="37"/>
        <v>3330000</v>
      </c>
      <c r="I160" s="495">
        <f t="shared" si="37"/>
        <v>3570000</v>
      </c>
      <c r="J160" s="495">
        <f t="shared" si="37"/>
        <v>3830000</v>
      </c>
    </row>
    <row r="161" spans="1:10">
      <c r="A161" s="506" t="s">
        <v>193</v>
      </c>
      <c r="B161" s="494" t="s">
        <v>417</v>
      </c>
      <c r="C161" s="805" t="s">
        <v>195</v>
      </c>
      <c r="D161" s="806"/>
      <c r="E161" s="496"/>
      <c r="F161" s="496"/>
      <c r="G161" s="496"/>
      <c r="H161" s="496"/>
      <c r="I161" s="496"/>
      <c r="J161" s="496"/>
    </row>
    <row r="162" spans="1:10" ht="45" hidden="1" customHeight="1">
      <c r="A162" s="497" t="s">
        <v>561</v>
      </c>
      <c r="B162" s="498"/>
      <c r="C162" s="843" t="s">
        <v>562</v>
      </c>
      <c r="D162" s="844"/>
      <c r="E162" s="499"/>
      <c r="F162" s="499"/>
      <c r="G162" s="499"/>
      <c r="H162" s="499"/>
      <c r="I162" s="499"/>
      <c r="J162" s="499"/>
    </row>
    <row r="163" spans="1:10" ht="15" hidden="1" customHeight="1">
      <c r="A163" s="500"/>
      <c r="B163" s="501"/>
      <c r="C163" s="501"/>
      <c r="D163" s="501"/>
      <c r="E163" s="501"/>
      <c r="F163" s="501"/>
      <c r="G163" s="501"/>
      <c r="H163" s="501"/>
      <c r="I163" s="501"/>
      <c r="J163" s="501"/>
    </row>
    <row r="164" spans="1:10" ht="30" customHeight="1">
      <c r="A164" s="497" t="s">
        <v>566</v>
      </c>
      <c r="B164" s="498" t="s">
        <v>788</v>
      </c>
      <c r="C164" s="843" t="s">
        <v>567</v>
      </c>
      <c r="D164" s="844"/>
      <c r="E164" s="499">
        <f t="shared" ref="E164:J164" si="38">SUM(E165:E165)</f>
        <v>2000000</v>
      </c>
      <c r="F164" s="499">
        <f t="shared" si="38"/>
        <v>0</v>
      </c>
      <c r="G164" s="499">
        <f t="shared" si="38"/>
        <v>200000</v>
      </c>
      <c r="H164" s="499">
        <f t="shared" si="38"/>
        <v>400000</v>
      </c>
      <c r="I164" s="499">
        <f t="shared" si="38"/>
        <v>600000</v>
      </c>
      <c r="J164" s="499">
        <f t="shared" si="38"/>
        <v>800000</v>
      </c>
    </row>
    <row r="165" spans="1:10" ht="20.100000000000001" customHeight="1">
      <c r="A165" s="500"/>
      <c r="B165" s="501"/>
      <c r="C165" s="555" t="s">
        <v>568</v>
      </c>
      <c r="D165" s="748" t="s">
        <v>794</v>
      </c>
      <c r="E165" s="749">
        <f t="shared" ref="E165" si="39">SUM(F165:J165)</f>
        <v>2000000</v>
      </c>
      <c r="F165" s="749">
        <v>0</v>
      </c>
      <c r="G165" s="749">
        <v>200000</v>
      </c>
      <c r="H165" s="749">
        <v>400000</v>
      </c>
      <c r="I165" s="749">
        <v>600000</v>
      </c>
      <c r="J165" s="749">
        <v>800000</v>
      </c>
    </row>
    <row r="166" spans="1:10" ht="56.25" customHeight="1">
      <c r="A166" s="497" t="s">
        <v>569</v>
      </c>
      <c r="B166" s="498" t="s">
        <v>960</v>
      </c>
      <c r="C166" s="843" t="s">
        <v>961</v>
      </c>
      <c r="D166" s="844"/>
      <c r="E166" s="499">
        <f>SUM(E167:E169)</f>
        <v>40470000</v>
      </c>
      <c r="F166" s="499">
        <f>SUM(F167:F169)</f>
        <v>15630000</v>
      </c>
      <c r="G166" s="499">
        <f t="shared" ref="G166:J166" si="40">SUM(G167:G169)</f>
        <v>15910000</v>
      </c>
      <c r="H166" s="499">
        <f t="shared" si="40"/>
        <v>2930000</v>
      </c>
      <c r="I166" s="499">
        <f t="shared" si="40"/>
        <v>2970000</v>
      </c>
      <c r="J166" s="499">
        <f t="shared" si="40"/>
        <v>3030000</v>
      </c>
    </row>
    <row r="167" spans="1:10" ht="20.100000000000001" customHeight="1">
      <c r="A167" s="500"/>
      <c r="B167" s="501"/>
      <c r="C167" s="555" t="s">
        <v>571</v>
      </c>
      <c r="D167" s="748" t="s">
        <v>563</v>
      </c>
      <c r="E167" s="749">
        <f t="shared" ref="E167:E169" si="41">SUM(F167:J167)</f>
        <v>36000000</v>
      </c>
      <c r="F167" s="749">
        <v>15000000</v>
      </c>
      <c r="G167" s="749">
        <v>15000000</v>
      </c>
      <c r="H167" s="749">
        <v>2000000</v>
      </c>
      <c r="I167" s="749">
        <v>2000000</v>
      </c>
      <c r="J167" s="749">
        <v>2000000</v>
      </c>
    </row>
    <row r="168" spans="1:10" ht="20.100000000000001" customHeight="1">
      <c r="A168" s="500"/>
      <c r="B168" s="501"/>
      <c r="C168" s="555" t="s">
        <v>564</v>
      </c>
      <c r="D168" s="748" t="s">
        <v>527</v>
      </c>
      <c r="E168" s="749">
        <f t="shared" si="41"/>
        <v>2050000</v>
      </c>
      <c r="F168" s="749">
        <v>380000</v>
      </c>
      <c r="G168" s="749">
        <v>400000</v>
      </c>
      <c r="H168" s="749">
        <f>H136</f>
        <v>400000</v>
      </c>
      <c r="I168" s="749">
        <f>I136</f>
        <v>420000</v>
      </c>
      <c r="J168" s="749">
        <v>450000</v>
      </c>
    </row>
    <row r="169" spans="1:10" ht="20.100000000000001" customHeight="1">
      <c r="A169" s="500"/>
      <c r="B169" s="501"/>
      <c r="C169" s="555" t="s">
        <v>565</v>
      </c>
      <c r="D169" s="748" t="s">
        <v>529</v>
      </c>
      <c r="E169" s="749">
        <f t="shared" si="41"/>
        <v>2420000</v>
      </c>
      <c r="F169" s="749">
        <v>250000</v>
      </c>
      <c r="G169" s="749">
        <v>510000</v>
      </c>
      <c r="H169" s="749">
        <v>530000</v>
      </c>
      <c r="I169" s="749">
        <v>550000</v>
      </c>
      <c r="J169" s="749">
        <v>580000</v>
      </c>
    </row>
    <row r="170" spans="1:10" ht="45" hidden="1" customHeight="1">
      <c r="A170" s="497" t="s">
        <v>572</v>
      </c>
      <c r="B170" s="498" t="s">
        <v>790</v>
      </c>
      <c r="C170" s="843" t="s">
        <v>573</v>
      </c>
      <c r="D170" s="844"/>
      <c r="E170" s="499"/>
      <c r="F170" s="499"/>
      <c r="G170" s="499"/>
      <c r="H170" s="499"/>
      <c r="I170" s="499"/>
      <c r="J170" s="499"/>
    </row>
    <row r="171" spans="1:10" ht="15" hidden="1" customHeight="1">
      <c r="A171" s="500"/>
      <c r="B171" s="501"/>
      <c r="C171" s="501"/>
      <c r="D171" s="501"/>
      <c r="E171" s="501"/>
      <c r="F171" s="501"/>
      <c r="G171" s="501"/>
      <c r="H171" s="501"/>
      <c r="I171" s="501"/>
      <c r="J171" s="501"/>
    </row>
    <row r="172" spans="1:10" ht="24.95" hidden="1" customHeight="1">
      <c r="A172" s="497" t="s">
        <v>574</v>
      </c>
      <c r="B172" s="498"/>
      <c r="C172" s="843" t="s">
        <v>575</v>
      </c>
      <c r="D172" s="844"/>
      <c r="E172" s="499"/>
      <c r="F172" s="499"/>
      <c r="G172" s="499"/>
      <c r="H172" s="499"/>
      <c r="I172" s="499"/>
      <c r="J172" s="499"/>
    </row>
    <row r="173" spans="1:10" hidden="1"/>
    <row r="175" spans="1:10" ht="20.100000000000001" customHeight="1">
      <c r="A175" s="507" t="s">
        <v>190</v>
      </c>
      <c r="B175" s="807" t="s">
        <v>576</v>
      </c>
      <c r="C175" s="808"/>
      <c r="D175" s="808"/>
      <c r="E175" s="508">
        <f>E176</f>
        <v>6750000</v>
      </c>
      <c r="F175" s="508">
        <f t="shared" ref="F175:J175" si="42">F176</f>
        <v>1020000</v>
      </c>
      <c r="G175" s="508">
        <f t="shared" si="42"/>
        <v>1400000</v>
      </c>
      <c r="H175" s="508">
        <f t="shared" si="42"/>
        <v>1430000</v>
      </c>
      <c r="I175" s="508">
        <f t="shared" si="42"/>
        <v>1430000</v>
      </c>
      <c r="J175" s="508">
        <f t="shared" si="42"/>
        <v>1470000</v>
      </c>
    </row>
    <row r="176" spans="1:10" ht="20.100000000000001" customHeight="1">
      <c r="A176" s="509" t="s">
        <v>192</v>
      </c>
      <c r="B176" s="510" t="s">
        <v>192</v>
      </c>
      <c r="C176" s="809" t="s">
        <v>577</v>
      </c>
      <c r="D176" s="810"/>
      <c r="E176" s="511">
        <f t="shared" ref="E176:J176" si="43">E178+E182+E185</f>
        <v>6750000</v>
      </c>
      <c r="F176" s="511">
        <f t="shared" si="43"/>
        <v>1020000</v>
      </c>
      <c r="G176" s="511">
        <f t="shared" si="43"/>
        <v>1400000</v>
      </c>
      <c r="H176" s="511">
        <f t="shared" si="43"/>
        <v>1430000</v>
      </c>
      <c r="I176" s="511">
        <f t="shared" si="43"/>
        <v>1430000</v>
      </c>
      <c r="J176" s="511">
        <f t="shared" si="43"/>
        <v>1470000</v>
      </c>
    </row>
    <row r="177" spans="1:14" ht="20.100000000000001" customHeight="1">
      <c r="A177" s="509" t="s">
        <v>193</v>
      </c>
      <c r="B177" s="510" t="s">
        <v>417</v>
      </c>
      <c r="C177" s="851" t="s">
        <v>195</v>
      </c>
      <c r="D177" s="852"/>
      <c r="E177" s="512"/>
      <c r="F177" s="512"/>
      <c r="G177" s="512"/>
      <c r="H177" s="512"/>
      <c r="I177" s="512"/>
      <c r="J177" s="512"/>
    </row>
    <row r="178" spans="1:14" s="516" customFormat="1" ht="20.100000000000001" customHeight="1">
      <c r="A178" s="513" t="s">
        <v>111</v>
      </c>
      <c r="B178" s="514" t="s">
        <v>959</v>
      </c>
      <c r="C178" s="853" t="s">
        <v>578</v>
      </c>
      <c r="D178" s="854"/>
      <c r="E178" s="515">
        <f>E179+E180+E181</f>
        <v>3320000</v>
      </c>
      <c r="F178" s="515">
        <f t="shared" ref="F178:J178" si="44">F179+F180+F181</f>
        <v>350000</v>
      </c>
      <c r="G178" s="515">
        <f t="shared" si="44"/>
        <v>710000</v>
      </c>
      <c r="H178" s="515">
        <f t="shared" si="44"/>
        <v>730000</v>
      </c>
      <c r="I178" s="515">
        <f t="shared" si="44"/>
        <v>750000</v>
      </c>
      <c r="J178" s="515">
        <f t="shared" si="44"/>
        <v>780000</v>
      </c>
      <c r="K178" s="130"/>
      <c r="L178" s="130"/>
      <c r="M178" s="130"/>
      <c r="N178" s="130"/>
    </row>
    <row r="179" spans="1:14" ht="20.100000000000001" customHeight="1">
      <c r="A179" s="500"/>
      <c r="B179" s="501"/>
      <c r="C179" s="555" t="s">
        <v>755</v>
      </c>
      <c r="D179" s="748" t="s">
        <v>579</v>
      </c>
      <c r="E179" s="749">
        <f t="shared" ref="E179:E180" si="45">SUM(F179:J179)</f>
        <v>500000</v>
      </c>
      <c r="F179" s="749">
        <v>100000</v>
      </c>
      <c r="G179" s="749">
        <v>100000</v>
      </c>
      <c r="H179" s="749">
        <v>100000</v>
      </c>
      <c r="I179" s="749">
        <v>100000</v>
      </c>
      <c r="J179" s="749">
        <v>100000</v>
      </c>
    </row>
    <row r="180" spans="1:14" ht="20.100000000000001" customHeight="1">
      <c r="A180" s="500"/>
      <c r="B180" s="501"/>
      <c r="C180" s="555" t="s">
        <v>756</v>
      </c>
      <c r="D180" s="748" t="s">
        <v>580</v>
      </c>
      <c r="E180" s="749">
        <f t="shared" si="45"/>
        <v>400000</v>
      </c>
      <c r="F180" s="749">
        <v>0</v>
      </c>
      <c r="G180" s="749">
        <v>100000</v>
      </c>
      <c r="H180" s="749">
        <v>100000</v>
      </c>
      <c r="I180" s="749">
        <v>100000</v>
      </c>
      <c r="J180" s="749">
        <v>100000</v>
      </c>
    </row>
    <row r="181" spans="1:14" ht="20.100000000000001" customHeight="1">
      <c r="A181" s="500"/>
      <c r="B181" s="501"/>
      <c r="C181" s="555" t="s">
        <v>720</v>
      </c>
      <c r="D181" s="748" t="s">
        <v>503</v>
      </c>
      <c r="E181" s="749">
        <f>SUM(F181:J181)</f>
        <v>2420000</v>
      </c>
      <c r="F181" s="749">
        <v>250000</v>
      </c>
      <c r="G181" s="749">
        <v>510000</v>
      </c>
      <c r="H181" s="749">
        <v>530000</v>
      </c>
      <c r="I181" s="749">
        <v>550000</v>
      </c>
      <c r="J181" s="749">
        <v>580000</v>
      </c>
    </row>
    <row r="182" spans="1:14" s="516" customFormat="1" ht="30" customHeight="1">
      <c r="A182" s="513" t="s">
        <v>581</v>
      </c>
      <c r="B182" s="514" t="s">
        <v>959</v>
      </c>
      <c r="C182" s="853" t="s">
        <v>582</v>
      </c>
      <c r="D182" s="854"/>
      <c r="E182" s="515">
        <f>SUM(F182:J182)</f>
        <v>2530000</v>
      </c>
      <c r="F182" s="515">
        <f>F184</f>
        <v>470000</v>
      </c>
      <c r="G182" s="515">
        <f t="shared" ref="G182:J182" si="46">G184</f>
        <v>490000</v>
      </c>
      <c r="H182" s="515">
        <f t="shared" si="46"/>
        <v>500000</v>
      </c>
      <c r="I182" s="515">
        <f t="shared" si="46"/>
        <v>530000</v>
      </c>
      <c r="J182" s="515">
        <f t="shared" si="46"/>
        <v>540000</v>
      </c>
      <c r="K182" s="130"/>
      <c r="L182" s="130"/>
      <c r="M182" s="130"/>
      <c r="N182" s="130"/>
    </row>
    <row r="183" spans="1:14" ht="20.100000000000001" customHeight="1">
      <c r="A183" s="507" t="s">
        <v>190</v>
      </c>
      <c r="B183" s="807" t="s">
        <v>576</v>
      </c>
      <c r="C183" s="808"/>
      <c r="D183" s="808"/>
      <c r="E183" s="508">
        <f>E184</f>
        <v>2530000</v>
      </c>
      <c r="F183" s="508">
        <f t="shared" ref="F183:J183" si="47">F184</f>
        <v>470000</v>
      </c>
      <c r="G183" s="508">
        <f t="shared" si="47"/>
        <v>490000</v>
      </c>
      <c r="H183" s="508">
        <f t="shared" si="47"/>
        <v>500000</v>
      </c>
      <c r="I183" s="508">
        <f t="shared" si="47"/>
        <v>530000</v>
      </c>
      <c r="J183" s="508">
        <f t="shared" si="47"/>
        <v>540000</v>
      </c>
    </row>
    <row r="184" spans="1:14" ht="20.100000000000001" customHeight="1">
      <c r="A184" s="500"/>
      <c r="B184" s="501"/>
      <c r="C184" s="555" t="s">
        <v>583</v>
      </c>
      <c r="D184" s="748" t="s">
        <v>653</v>
      </c>
      <c r="E184" s="749">
        <f t="shared" ref="E184" si="48">SUM(F184:J184)</f>
        <v>2530000</v>
      </c>
      <c r="F184" s="749">
        <v>470000</v>
      </c>
      <c r="G184" s="749">
        <v>490000</v>
      </c>
      <c r="H184" s="749">
        <v>500000</v>
      </c>
      <c r="I184" s="749">
        <v>530000</v>
      </c>
      <c r="J184" s="749">
        <v>540000</v>
      </c>
    </row>
    <row r="185" spans="1:14" s="516" customFormat="1" ht="30" customHeight="1">
      <c r="A185" s="513" t="s">
        <v>584</v>
      </c>
      <c r="B185" s="514" t="s">
        <v>959</v>
      </c>
      <c r="C185" s="853" t="s">
        <v>585</v>
      </c>
      <c r="D185" s="854"/>
      <c r="E185" s="515">
        <f t="shared" ref="E185:J185" si="49">E186+E187+E188</f>
        <v>900000</v>
      </c>
      <c r="F185" s="515">
        <f t="shared" si="49"/>
        <v>200000</v>
      </c>
      <c r="G185" s="515">
        <f t="shared" si="49"/>
        <v>200000</v>
      </c>
      <c r="H185" s="515">
        <f t="shared" si="49"/>
        <v>200000</v>
      </c>
      <c r="I185" s="515">
        <f t="shared" si="49"/>
        <v>150000</v>
      </c>
      <c r="J185" s="515">
        <f t="shared" si="49"/>
        <v>150000</v>
      </c>
      <c r="K185" s="130"/>
      <c r="L185" s="130"/>
      <c r="M185" s="130"/>
      <c r="N185" s="130"/>
    </row>
    <row r="186" spans="1:14" ht="20.100000000000001" customHeight="1">
      <c r="A186" s="500"/>
      <c r="B186" s="501"/>
      <c r="C186" s="555" t="s">
        <v>586</v>
      </c>
      <c r="D186" s="748" t="s">
        <v>834</v>
      </c>
      <c r="E186" s="749">
        <f t="shared" ref="E186" si="50">SUM(F186:J186)</f>
        <v>250000</v>
      </c>
      <c r="F186" s="749">
        <v>50000</v>
      </c>
      <c r="G186" s="749">
        <v>50000</v>
      </c>
      <c r="H186" s="749">
        <v>50000</v>
      </c>
      <c r="I186" s="749">
        <v>50000</v>
      </c>
      <c r="J186" s="749">
        <v>50000</v>
      </c>
    </row>
    <row r="187" spans="1:14" ht="20.100000000000001" customHeight="1">
      <c r="A187" s="500"/>
      <c r="B187" s="501"/>
      <c r="C187" s="555" t="s">
        <v>587</v>
      </c>
      <c r="D187" s="748" t="s">
        <v>588</v>
      </c>
      <c r="E187" s="749">
        <f t="shared" ref="E187:E188" si="51">SUM(F187:J187)</f>
        <v>250000</v>
      </c>
      <c r="F187" s="749">
        <v>50000</v>
      </c>
      <c r="G187" s="749">
        <v>50000</v>
      </c>
      <c r="H187" s="749">
        <v>50000</v>
      </c>
      <c r="I187" s="749">
        <v>50000</v>
      </c>
      <c r="J187" s="749">
        <v>50000</v>
      </c>
    </row>
    <row r="188" spans="1:14" ht="20.100000000000001" customHeight="1">
      <c r="A188" s="500"/>
      <c r="B188" s="501"/>
      <c r="C188" s="555" t="s">
        <v>589</v>
      </c>
      <c r="D188" s="748" t="s">
        <v>590</v>
      </c>
      <c r="E188" s="749">
        <f t="shared" si="51"/>
        <v>400000</v>
      </c>
      <c r="F188" s="749">
        <v>100000</v>
      </c>
      <c r="G188" s="749">
        <v>100000</v>
      </c>
      <c r="H188" s="749">
        <v>100000</v>
      </c>
      <c r="I188" s="749">
        <v>50000</v>
      </c>
      <c r="J188" s="749">
        <v>50000</v>
      </c>
    </row>
    <row r="190" spans="1:14" ht="20.100000000000001" customHeight="1">
      <c r="A190" s="517" t="s">
        <v>190</v>
      </c>
      <c r="B190" s="811" t="s">
        <v>591</v>
      </c>
      <c r="C190" s="812"/>
      <c r="D190" s="812"/>
      <c r="E190" s="518">
        <f>E191+E194</f>
        <v>7034010.9073305605</v>
      </c>
      <c r="F190" s="518">
        <f t="shared" ref="F190:J190" si="52">F191+F194</f>
        <v>1315200</v>
      </c>
      <c r="G190" s="518">
        <f t="shared" si="52"/>
        <v>1346723.04</v>
      </c>
      <c r="H190" s="518">
        <f t="shared" si="52"/>
        <v>1400591.9616</v>
      </c>
      <c r="I190" s="518">
        <f t="shared" si="52"/>
        <v>1456615.6400640002</v>
      </c>
      <c r="J190" s="518">
        <f t="shared" si="52"/>
        <v>1514880.2656665603</v>
      </c>
    </row>
    <row r="191" spans="1:14" ht="20.100000000000001" hidden="1" customHeight="1">
      <c r="A191" s="519" t="s">
        <v>192</v>
      </c>
      <c r="B191" s="520" t="s">
        <v>192</v>
      </c>
      <c r="C191" s="802" t="s">
        <v>592</v>
      </c>
      <c r="D191" s="803"/>
      <c r="E191" s="521"/>
      <c r="F191" s="521"/>
      <c r="G191" s="521"/>
      <c r="H191" s="521"/>
      <c r="I191" s="521"/>
      <c r="J191" s="521"/>
    </row>
    <row r="192" spans="1:14" ht="20.100000000000001" hidden="1" customHeight="1">
      <c r="A192" s="519" t="s">
        <v>193</v>
      </c>
      <c r="B192" s="520" t="s">
        <v>417</v>
      </c>
      <c r="C192" s="802" t="s">
        <v>195</v>
      </c>
      <c r="D192" s="803"/>
      <c r="E192" s="521"/>
      <c r="F192" s="521"/>
      <c r="G192" s="521"/>
      <c r="H192" s="521"/>
      <c r="I192" s="521"/>
      <c r="J192" s="521"/>
    </row>
    <row r="193" spans="1:15" ht="20.100000000000001" hidden="1" customHeight="1">
      <c r="A193" s="500" t="s">
        <v>593</v>
      </c>
      <c r="B193" s="501"/>
      <c r="C193" s="501"/>
      <c r="D193" s="522" t="s">
        <v>594</v>
      </c>
      <c r="E193" s="473"/>
      <c r="F193" s="473"/>
      <c r="G193" s="473"/>
      <c r="H193" s="473"/>
      <c r="I193" s="473"/>
      <c r="J193" s="473"/>
      <c r="N193" s="565"/>
    </row>
    <row r="194" spans="1:15" ht="20.100000000000001" customHeight="1">
      <c r="A194" s="519" t="s">
        <v>192</v>
      </c>
      <c r="B194" s="520" t="s">
        <v>192</v>
      </c>
      <c r="C194" s="802" t="s">
        <v>595</v>
      </c>
      <c r="D194" s="803"/>
      <c r="E194" s="523">
        <f>E196+E198+E200+E202+E204</f>
        <v>7034010.9073305605</v>
      </c>
      <c r="F194" s="523">
        <f>1244727+27719+42754</f>
        <v>1315200</v>
      </c>
      <c r="G194" s="523">
        <v>1346723.04</v>
      </c>
      <c r="H194" s="523">
        <v>1400591.9616</v>
      </c>
      <c r="I194" s="523">
        <v>1456615.6400640002</v>
      </c>
      <c r="J194" s="523">
        <v>1514880.2656665603</v>
      </c>
      <c r="L194" s="616"/>
      <c r="M194" s="747"/>
      <c r="N194" s="616"/>
    </row>
    <row r="195" spans="1:15" ht="20.100000000000001" customHeight="1">
      <c r="A195" s="524" t="s">
        <v>193</v>
      </c>
      <c r="B195" s="525" t="s">
        <v>417</v>
      </c>
      <c r="C195" s="847" t="s">
        <v>195</v>
      </c>
      <c r="D195" s="848"/>
      <c r="E195" s="526"/>
      <c r="F195" s="526"/>
      <c r="G195" s="526"/>
      <c r="H195" s="526"/>
      <c r="I195" s="526"/>
      <c r="J195" s="526"/>
      <c r="L195" s="616"/>
      <c r="M195" s="747"/>
      <c r="N195" s="616"/>
      <c r="O195" s="747"/>
    </row>
    <row r="196" spans="1:15" ht="20.100000000000001" customHeight="1">
      <c r="A196" s="746" t="s">
        <v>596</v>
      </c>
      <c r="B196" s="746"/>
      <c r="C196" s="849" t="s">
        <v>597</v>
      </c>
      <c r="D196" s="850"/>
      <c r="E196" s="528">
        <f t="shared" ref="E196:J196" si="53">E197</f>
        <v>70340.109073305604</v>
      </c>
      <c r="F196" s="528">
        <f t="shared" si="53"/>
        <v>13152</v>
      </c>
      <c r="G196" s="528">
        <f t="shared" si="53"/>
        <v>13467.2304</v>
      </c>
      <c r="H196" s="528">
        <f t="shared" si="53"/>
        <v>14005.919616000001</v>
      </c>
      <c r="I196" s="528">
        <f t="shared" si="53"/>
        <v>14566.156400640002</v>
      </c>
      <c r="J196" s="528">
        <f t="shared" si="53"/>
        <v>15148.802656665603</v>
      </c>
      <c r="L196" s="616"/>
      <c r="M196" s="565"/>
      <c r="N196" s="616"/>
      <c r="O196" s="565"/>
    </row>
    <row r="197" spans="1:15" ht="20.100000000000001" customHeight="1">
      <c r="A197" s="529">
        <v>0.01</v>
      </c>
      <c r="B197" s="530"/>
      <c r="C197" s="530" t="s">
        <v>598</v>
      </c>
      <c r="D197" s="748" t="s">
        <v>599</v>
      </c>
      <c r="E197" s="480">
        <f t="shared" ref="E197" si="54">SUM(F197:J197)</f>
        <v>70340.109073305604</v>
      </c>
      <c r="F197" s="480">
        <f>$A$197*F194</f>
        <v>13152</v>
      </c>
      <c r="G197" s="480">
        <f>$A$197*G194</f>
        <v>13467.2304</v>
      </c>
      <c r="H197" s="480">
        <f>$A$197*H194</f>
        <v>14005.919616000001</v>
      </c>
      <c r="I197" s="480">
        <f>$A$197*I194</f>
        <v>14566.156400640002</v>
      </c>
      <c r="J197" s="480">
        <f>$A$197*J194</f>
        <v>15148.802656665603</v>
      </c>
      <c r="L197" s="616"/>
      <c r="N197" s="616"/>
    </row>
    <row r="198" spans="1:15" ht="20.100000000000001" customHeight="1">
      <c r="A198" s="746" t="s">
        <v>600</v>
      </c>
      <c r="B198" s="746"/>
      <c r="C198" s="845" t="s">
        <v>601</v>
      </c>
      <c r="D198" s="846"/>
      <c r="E198" s="528">
        <f>E199</f>
        <v>1266121.9633195009</v>
      </c>
      <c r="F198" s="528">
        <f t="shared" ref="F198:J198" si="55">F199</f>
        <v>236736</v>
      </c>
      <c r="G198" s="528">
        <f t="shared" si="55"/>
        <v>242410.14720000001</v>
      </c>
      <c r="H198" s="528">
        <f t="shared" si="55"/>
        <v>252106.55308799999</v>
      </c>
      <c r="I198" s="528">
        <f t="shared" si="55"/>
        <v>262190.81521152001</v>
      </c>
      <c r="J198" s="528">
        <f t="shared" si="55"/>
        <v>272678.44781998085</v>
      </c>
      <c r="L198" s="616"/>
      <c r="M198" s="747"/>
      <c r="N198" s="616"/>
      <c r="O198" s="747"/>
    </row>
    <row r="199" spans="1:15" ht="20.100000000000001" customHeight="1">
      <c r="A199" s="529">
        <v>0.18</v>
      </c>
      <c r="B199" s="530"/>
      <c r="C199" s="530" t="s">
        <v>602</v>
      </c>
      <c r="D199" s="748" t="s">
        <v>603</v>
      </c>
      <c r="E199" s="480">
        <f t="shared" ref="E199" si="56">SUM(F199:J199)</f>
        <v>1266121.9633195009</v>
      </c>
      <c r="F199" s="480">
        <f>$A$199*F194</f>
        <v>236736</v>
      </c>
      <c r="G199" s="480">
        <f>$A$199*G194</f>
        <v>242410.14720000001</v>
      </c>
      <c r="H199" s="480">
        <f>$A$199*H194</f>
        <v>252106.55308799999</v>
      </c>
      <c r="I199" s="480">
        <f>$A$199*I194</f>
        <v>262190.81521152001</v>
      </c>
      <c r="J199" s="480">
        <f>$A$199*J194</f>
        <v>272678.44781998085</v>
      </c>
      <c r="L199" s="616"/>
      <c r="N199" s="616"/>
    </row>
    <row r="200" spans="1:15" ht="20.100000000000001" customHeight="1">
      <c r="A200" s="746" t="s">
        <v>604</v>
      </c>
      <c r="B200" s="746"/>
      <c r="C200" s="845" t="s">
        <v>605</v>
      </c>
      <c r="D200" s="846"/>
      <c r="E200" s="528">
        <f>E201</f>
        <v>5275508.1804979201</v>
      </c>
      <c r="F200" s="528">
        <f t="shared" ref="F200:J200" si="57">F201</f>
        <v>986400</v>
      </c>
      <c r="G200" s="528">
        <f t="shared" si="57"/>
        <v>1010042.28</v>
      </c>
      <c r="H200" s="528">
        <f t="shared" si="57"/>
        <v>1050443.9712</v>
      </c>
      <c r="I200" s="528">
        <f t="shared" si="57"/>
        <v>1092461.7300480001</v>
      </c>
      <c r="J200" s="528">
        <f t="shared" si="57"/>
        <v>1136160.1992499202</v>
      </c>
    </row>
    <row r="201" spans="1:15" ht="20.100000000000001" customHeight="1">
      <c r="A201" s="529">
        <v>0.75</v>
      </c>
      <c r="B201" s="530"/>
      <c r="C201" s="530" t="s">
        <v>606</v>
      </c>
      <c r="D201" s="748" t="s">
        <v>607</v>
      </c>
      <c r="E201" s="480">
        <f t="shared" ref="E201" si="58">SUM(F201:J201)</f>
        <v>5275508.1804979201</v>
      </c>
      <c r="F201" s="480">
        <f>$A$201*F194</f>
        <v>986400</v>
      </c>
      <c r="G201" s="480">
        <f>$A$201*G194</f>
        <v>1010042.28</v>
      </c>
      <c r="H201" s="480">
        <f>$A$201*H194</f>
        <v>1050443.9712</v>
      </c>
      <c r="I201" s="480">
        <f>$A$201*I194</f>
        <v>1092461.7300480001</v>
      </c>
      <c r="J201" s="480">
        <f>$A$201*J194</f>
        <v>1136160.1992499202</v>
      </c>
    </row>
    <row r="202" spans="1:15" ht="20.100000000000001" customHeight="1">
      <c r="A202" s="746" t="s">
        <v>608</v>
      </c>
      <c r="B202" s="746"/>
      <c r="C202" s="845" t="s">
        <v>609</v>
      </c>
      <c r="D202" s="846"/>
      <c r="E202" s="528">
        <f>E203</f>
        <v>70340.109073305604</v>
      </c>
      <c r="F202" s="528">
        <f t="shared" ref="F202:J202" si="59">F203</f>
        <v>13152</v>
      </c>
      <c r="G202" s="528">
        <f t="shared" si="59"/>
        <v>13467.2304</v>
      </c>
      <c r="H202" s="528">
        <f t="shared" si="59"/>
        <v>14005.919616000001</v>
      </c>
      <c r="I202" s="528">
        <f t="shared" si="59"/>
        <v>14566.156400640002</v>
      </c>
      <c r="J202" s="528">
        <f t="shared" si="59"/>
        <v>15148.802656665603</v>
      </c>
    </row>
    <row r="203" spans="1:15" ht="20.100000000000001" customHeight="1">
      <c r="A203" s="529">
        <v>0.01</v>
      </c>
      <c r="B203" s="530"/>
      <c r="C203" s="530" t="s">
        <v>610</v>
      </c>
      <c r="D203" s="748" t="s">
        <v>611</v>
      </c>
      <c r="E203" s="480">
        <f t="shared" ref="E203" si="60">SUM(F203:J203)</f>
        <v>70340.109073305604</v>
      </c>
      <c r="F203" s="480">
        <f>$A$203*F194</f>
        <v>13152</v>
      </c>
      <c r="G203" s="480">
        <f>$A$203*G194</f>
        <v>13467.2304</v>
      </c>
      <c r="H203" s="480">
        <f>$A$203*H194</f>
        <v>14005.919616000001</v>
      </c>
      <c r="I203" s="480">
        <f>$A$203*I194</f>
        <v>14566.156400640002</v>
      </c>
      <c r="J203" s="480">
        <f>$A$203*J194</f>
        <v>15148.802656665603</v>
      </c>
    </row>
    <row r="204" spans="1:15" ht="20.100000000000001" customHeight="1">
      <c r="A204" s="746" t="s">
        <v>612</v>
      </c>
      <c r="B204" s="746"/>
      <c r="C204" s="845" t="s">
        <v>613</v>
      </c>
      <c r="D204" s="846"/>
      <c r="E204" s="528">
        <f>E205</f>
        <v>351700.54536652809</v>
      </c>
      <c r="F204" s="528">
        <f t="shared" ref="F204:J204" si="61">F205</f>
        <v>65760</v>
      </c>
      <c r="G204" s="528">
        <f t="shared" si="61"/>
        <v>67336.152000000002</v>
      </c>
      <c r="H204" s="528">
        <f t="shared" si="61"/>
        <v>70029.598080000011</v>
      </c>
      <c r="I204" s="528">
        <f t="shared" si="61"/>
        <v>72830.782003200016</v>
      </c>
      <c r="J204" s="528">
        <f t="shared" si="61"/>
        <v>75744.013283328022</v>
      </c>
    </row>
    <row r="205" spans="1:15" ht="20.100000000000001" customHeight="1">
      <c r="A205" s="529">
        <v>0.05</v>
      </c>
      <c r="B205" s="530"/>
      <c r="C205" s="530" t="s">
        <v>614</v>
      </c>
      <c r="D205" s="748" t="s">
        <v>615</v>
      </c>
      <c r="E205" s="480">
        <f t="shared" ref="E205" si="62">SUM(F205:J205)</f>
        <v>351700.54536652809</v>
      </c>
      <c r="F205" s="480">
        <f>$A$205*F194</f>
        <v>65760</v>
      </c>
      <c r="G205" s="480">
        <f>$A$205*G194</f>
        <v>67336.152000000002</v>
      </c>
      <c r="H205" s="480">
        <f>$A$205*H194</f>
        <v>70029.598080000011</v>
      </c>
      <c r="I205" s="480">
        <f>$A$205*I194</f>
        <v>72830.782003200016</v>
      </c>
      <c r="J205" s="480">
        <f>$A$205*J194</f>
        <v>75744.013283328022</v>
      </c>
    </row>
    <row r="206" spans="1:15">
      <c r="A206" s="531">
        <v>2021</v>
      </c>
      <c r="B206" s="532" t="s">
        <v>616</v>
      </c>
      <c r="C206" s="532"/>
      <c r="D206" s="532"/>
    </row>
    <row r="207" spans="1:15">
      <c r="F207" s="462"/>
    </row>
  </sheetData>
  <mergeCells count="107">
    <mergeCell ref="C202:D202"/>
    <mergeCell ref="C204:D204"/>
    <mergeCell ref="B80:D80"/>
    <mergeCell ref="C192:D192"/>
    <mergeCell ref="C194:D194"/>
    <mergeCell ref="C195:D195"/>
    <mergeCell ref="C196:D196"/>
    <mergeCell ref="C198:D198"/>
    <mergeCell ref="C200:D200"/>
    <mergeCell ref="C177:D177"/>
    <mergeCell ref="C178:D178"/>
    <mergeCell ref="C182:D182"/>
    <mergeCell ref="C185:D185"/>
    <mergeCell ref="B190:D190"/>
    <mergeCell ref="C191:D191"/>
    <mergeCell ref="C164:D164"/>
    <mergeCell ref="C166:D166"/>
    <mergeCell ref="C170:D170"/>
    <mergeCell ref="C172:D172"/>
    <mergeCell ref="B175:D175"/>
    <mergeCell ref="C176:D176"/>
    <mergeCell ref="C154:D154"/>
    <mergeCell ref="C156:D156"/>
    <mergeCell ref="C158:D158"/>
    <mergeCell ref="C160:D160"/>
    <mergeCell ref="C161:D161"/>
    <mergeCell ref="C162:D162"/>
    <mergeCell ref="C143:D143"/>
    <mergeCell ref="C145:D145"/>
    <mergeCell ref="C147:D147"/>
    <mergeCell ref="C149:D149"/>
    <mergeCell ref="C150:D150"/>
    <mergeCell ref="C151:D151"/>
    <mergeCell ref="C127:D127"/>
    <mergeCell ref="C128:D128"/>
    <mergeCell ref="C129:D129"/>
    <mergeCell ref="C131:D131"/>
    <mergeCell ref="C139:D139"/>
    <mergeCell ref="C141:D141"/>
    <mergeCell ref="C116:D116"/>
    <mergeCell ref="C117:D117"/>
    <mergeCell ref="C119:D119"/>
    <mergeCell ref="C121:D121"/>
    <mergeCell ref="C123:D123"/>
    <mergeCell ref="B126:D126"/>
    <mergeCell ref="B134:D134"/>
    <mergeCell ref="C106:D106"/>
    <mergeCell ref="C107:D107"/>
    <mergeCell ref="C109:D109"/>
    <mergeCell ref="C111:D111"/>
    <mergeCell ref="C113:D113"/>
    <mergeCell ref="C115:D115"/>
    <mergeCell ref="C97:D97"/>
    <mergeCell ref="C98:D98"/>
    <mergeCell ref="C99:D99"/>
    <mergeCell ref="C101:D101"/>
    <mergeCell ref="C103:D103"/>
    <mergeCell ref="C105:D105"/>
    <mergeCell ref="C82:D82"/>
    <mergeCell ref="C83:D83"/>
    <mergeCell ref="C85:D85"/>
    <mergeCell ref="C87:D87"/>
    <mergeCell ref="C89:D89"/>
    <mergeCell ref="C95:D95"/>
    <mergeCell ref="C71:D71"/>
    <mergeCell ref="C73:D73"/>
    <mergeCell ref="C75:D75"/>
    <mergeCell ref="C77:D77"/>
    <mergeCell ref="B79:D79"/>
    <mergeCell ref="C81:D81"/>
    <mergeCell ref="C41:D41"/>
    <mergeCell ref="C62:D62"/>
    <mergeCell ref="C63:D63"/>
    <mergeCell ref="C65:D65"/>
    <mergeCell ref="C66:D66"/>
    <mergeCell ref="C67:D67"/>
    <mergeCell ref="C69:D69"/>
    <mergeCell ref="C53:D53"/>
    <mergeCell ref="C55:D55"/>
    <mergeCell ref="C56:D56"/>
    <mergeCell ref="C57:D57"/>
    <mergeCell ref="C59:D59"/>
    <mergeCell ref="C61:D61"/>
    <mergeCell ref="B183:D183"/>
    <mergeCell ref="C23:D23"/>
    <mergeCell ref="C25:D25"/>
    <mergeCell ref="C27:D27"/>
    <mergeCell ref="C28:D28"/>
    <mergeCell ref="C29:D29"/>
    <mergeCell ref="C31:D31"/>
    <mergeCell ref="A1:J1"/>
    <mergeCell ref="A5:D5"/>
    <mergeCell ref="B17:D17"/>
    <mergeCell ref="C18:D18"/>
    <mergeCell ref="C19:D19"/>
    <mergeCell ref="C20:D20"/>
    <mergeCell ref="C43:D43"/>
    <mergeCell ref="C45:D45"/>
    <mergeCell ref="C47:D47"/>
    <mergeCell ref="C48:D48"/>
    <mergeCell ref="C49:D49"/>
    <mergeCell ref="C51:D51"/>
    <mergeCell ref="C33:D33"/>
    <mergeCell ref="C35:D35"/>
    <mergeCell ref="C37:D37"/>
    <mergeCell ref="C38:D38"/>
    <mergeCell ref="C39:D39"/>
  </mergeCells>
  <printOptions horizontalCentered="1"/>
  <pageMargins left="0.51181102362204722" right="0.51181102362204722" top="0.78740157480314965" bottom="0.78740157480314965" header="0.31496062992125984" footer="0.31496062992125984"/>
  <pageSetup paperSize="9" scale="74" fitToHeight="4" orientation="landscape" r:id="rId1"/>
  <headerFooter>
    <oddFooter>&amp;L&amp;F&amp;C&amp;A&amp;R&amp;P/&amp;N</oddFooter>
  </headerFooter>
  <rowBreaks count="1" manualBreakCount="1">
    <brk id="50" max="9" man="1"/>
  </rowBreaks>
  <ignoredErrors>
    <ignoredError sqref="E50:E51 E52 E118 E155:E158 E166 E197:J205 E131 E84:E85"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K65"/>
  <sheetViews>
    <sheetView workbookViewId="0">
      <selection activeCell="E40" sqref="E40"/>
    </sheetView>
  </sheetViews>
  <sheetFormatPr defaultRowHeight="12.75"/>
  <cols>
    <col min="1" max="1" width="9" style="353"/>
    <col min="2" max="2" width="49.875" style="353" bestFit="1" customWidth="1"/>
    <col min="3" max="3" width="10.5" style="353" bestFit="1" customWidth="1"/>
    <col min="4" max="4" width="10.625" style="353" customWidth="1"/>
    <col min="5" max="5" width="12.625" style="353" customWidth="1"/>
    <col min="6" max="6" width="11.125" style="353" customWidth="1"/>
    <col min="7" max="7" width="12.25" style="353" bestFit="1" customWidth="1"/>
    <col min="8" max="8" width="9.875" style="353" bestFit="1" customWidth="1"/>
    <col min="9" max="12" width="11.125" style="353" customWidth="1"/>
    <col min="13" max="16384" width="9" style="353"/>
  </cols>
  <sheetData>
    <row r="1" spans="1:10" s="343" customFormat="1" ht="39.950000000000003" customHeight="1">
      <c r="A1" s="988" t="s">
        <v>681</v>
      </c>
      <c r="B1" s="988"/>
      <c r="C1" s="988"/>
      <c r="D1" s="988"/>
      <c r="E1" s="988"/>
      <c r="F1" s="988"/>
      <c r="G1" s="988"/>
      <c r="H1" s="988"/>
    </row>
    <row r="2" spans="1:10" ht="20.100000000000001" customHeight="1">
      <c r="A2" s="352"/>
      <c r="B2" s="989"/>
      <c r="C2" s="989"/>
      <c r="D2" s="989"/>
      <c r="E2" s="989"/>
      <c r="F2" s="989"/>
      <c r="G2" s="344"/>
      <c r="H2" s="345"/>
    </row>
    <row r="3" spans="1:10" ht="15.6" customHeight="1">
      <c r="A3" s="346"/>
      <c r="B3" s="442" t="s">
        <v>411</v>
      </c>
      <c r="C3" s="441">
        <v>18</v>
      </c>
      <c r="D3" s="441" t="s">
        <v>27</v>
      </c>
      <c r="E3" s="441">
        <v>160</v>
      </c>
      <c r="F3" s="440" t="s">
        <v>160</v>
      </c>
      <c r="G3" s="344" t="s">
        <v>210</v>
      </c>
      <c r="H3" s="625">
        <v>44146</v>
      </c>
    </row>
    <row r="4" spans="1:10" ht="9.9499999999999993" customHeight="1">
      <c r="F4" s="356"/>
      <c r="G4" s="357"/>
    </row>
    <row r="5" spans="1:10" ht="15" customHeight="1">
      <c r="A5" s="990" t="s">
        <v>285</v>
      </c>
      <c r="B5" s="991" t="s">
        <v>211</v>
      </c>
      <c r="C5" s="1001" t="s">
        <v>212</v>
      </c>
      <c r="D5" s="1002"/>
      <c r="E5" s="358" t="s">
        <v>213</v>
      </c>
      <c r="F5" s="1003" t="s">
        <v>214</v>
      </c>
      <c r="G5" s="1003" t="s">
        <v>215</v>
      </c>
      <c r="H5" s="1005" t="s">
        <v>216</v>
      </c>
    </row>
    <row r="6" spans="1:10" ht="15" customHeight="1">
      <c r="A6" s="990"/>
      <c r="B6" s="991"/>
      <c r="C6" s="359" t="s">
        <v>217</v>
      </c>
      <c r="D6" s="360" t="s">
        <v>218</v>
      </c>
      <c r="E6" s="361" t="s">
        <v>219</v>
      </c>
      <c r="F6" s="1003"/>
      <c r="G6" s="1004"/>
      <c r="H6" s="1005"/>
    </row>
    <row r="7" spans="1:10" ht="20.100000000000001" customHeight="1">
      <c r="A7" s="362">
        <v>1</v>
      </c>
      <c r="B7" s="363" t="s">
        <v>220</v>
      </c>
      <c r="C7" s="364"/>
      <c r="D7" s="365"/>
      <c r="E7" s="365"/>
      <c r="F7" s="364"/>
      <c r="G7" s="366">
        <f>SUM(G8:G11)</f>
        <v>2011973.988365897</v>
      </c>
      <c r="H7" s="367">
        <f>SUM(H8:H11)</f>
        <v>0.59108532436048211</v>
      </c>
    </row>
    <row r="8" spans="1:10" ht="20.100000000000001" customHeight="1">
      <c r="A8" s="368" t="s">
        <v>221</v>
      </c>
      <c r="B8" s="369" t="s">
        <v>369</v>
      </c>
      <c r="C8" s="370">
        <v>18408.34</v>
      </c>
      <c r="D8" s="371">
        <f>C8/$E$3</f>
        <v>115.052125</v>
      </c>
      <c r="E8" s="548">
        <f>$C$3*$E$3</f>
        <v>2880</v>
      </c>
      <c r="F8" s="371">
        <f>D8*E8</f>
        <v>331350.12</v>
      </c>
      <c r="G8" s="371">
        <f>F8*$H$50</f>
        <v>836661.59560500237</v>
      </c>
      <c r="H8" s="373">
        <f>G8/$G$36</f>
        <v>0.24579760646895835</v>
      </c>
    </row>
    <row r="9" spans="1:10" ht="20.100000000000001" customHeight="1">
      <c r="A9" s="368" t="s">
        <v>221</v>
      </c>
      <c r="B9" s="369" t="s">
        <v>680</v>
      </c>
      <c r="C9" s="370">
        <v>11347.68</v>
      </c>
      <c r="D9" s="371">
        <f t="shared" ref="D9:D11" si="0">C9/$E$3</f>
        <v>70.923000000000002</v>
      </c>
      <c r="E9" s="548">
        <f t="shared" ref="E9:E11" si="1">$C$3*$E$3</f>
        <v>2880</v>
      </c>
      <c r="F9" s="371">
        <f>D9*E9</f>
        <v>204258.24</v>
      </c>
      <c r="G9" s="371">
        <f>F9*$H$50</f>
        <v>515753.62336935173</v>
      </c>
      <c r="H9" s="373">
        <f>G9/$G$36</f>
        <v>0.15152004922636528</v>
      </c>
      <c r="J9" s="374"/>
    </row>
    <row r="10" spans="1:10" ht="20.100000000000001" customHeight="1">
      <c r="A10" s="368" t="s">
        <v>221</v>
      </c>
      <c r="B10" s="369" t="s">
        <v>629</v>
      </c>
      <c r="C10" s="370">
        <v>11347.68</v>
      </c>
      <c r="D10" s="371">
        <f t="shared" si="0"/>
        <v>70.923000000000002</v>
      </c>
      <c r="E10" s="548">
        <f t="shared" si="1"/>
        <v>2880</v>
      </c>
      <c r="F10" s="371">
        <f>D10*E10</f>
        <v>204258.24</v>
      </c>
      <c r="G10" s="371">
        <f>F10*$H$50</f>
        <v>515753.62336935173</v>
      </c>
      <c r="H10" s="373">
        <f>G10/$G$36</f>
        <v>0.15152004922636528</v>
      </c>
    </row>
    <row r="11" spans="1:10" ht="20.100000000000001" customHeight="1">
      <c r="A11" s="368" t="s">
        <v>221</v>
      </c>
      <c r="B11" s="369" t="s">
        <v>621</v>
      </c>
      <c r="C11" s="370">
        <v>3164.02</v>
      </c>
      <c r="D11" s="371">
        <f t="shared" si="0"/>
        <v>19.775124999999999</v>
      </c>
      <c r="E11" s="548">
        <f t="shared" si="1"/>
        <v>2880</v>
      </c>
      <c r="F11" s="371">
        <f>D11*E11</f>
        <v>56952.36</v>
      </c>
      <c r="G11" s="371">
        <f>F11*$H$50</f>
        <v>143805.14602219101</v>
      </c>
      <c r="H11" s="373">
        <f>G11/$G$36</f>
        <v>4.2247619438793155E-2</v>
      </c>
    </row>
    <row r="12" spans="1:10" ht="6" customHeight="1">
      <c r="A12" s="368"/>
      <c r="B12" s="375"/>
      <c r="C12" s="370"/>
      <c r="D12" s="368"/>
      <c r="E12" s="370"/>
      <c r="F12" s="371"/>
      <c r="G12" s="376"/>
      <c r="H12" s="377"/>
      <c r="I12" s="378"/>
    </row>
    <row r="13" spans="1:10" ht="15" customHeight="1">
      <c r="A13" s="1006" t="s">
        <v>285</v>
      </c>
      <c r="B13" s="1008" t="s">
        <v>211</v>
      </c>
      <c r="C13" s="998" t="s">
        <v>212</v>
      </c>
      <c r="D13" s="1004"/>
      <c r="E13" s="379" t="s">
        <v>213</v>
      </c>
      <c r="F13" s="1010" t="s">
        <v>214</v>
      </c>
      <c r="G13" s="1010" t="s">
        <v>222</v>
      </c>
      <c r="H13" s="999" t="s">
        <v>216</v>
      </c>
    </row>
    <row r="14" spans="1:10" ht="15" customHeight="1">
      <c r="A14" s="1007"/>
      <c r="B14" s="1009"/>
      <c r="C14" s="379" t="s">
        <v>217</v>
      </c>
      <c r="D14" s="380" t="s">
        <v>218</v>
      </c>
      <c r="E14" s="379" t="s">
        <v>219</v>
      </c>
      <c r="F14" s="1011"/>
      <c r="G14" s="1011"/>
      <c r="H14" s="1000"/>
    </row>
    <row r="15" spans="1:10" ht="20.100000000000001" customHeight="1">
      <c r="A15" s="362">
        <v>2</v>
      </c>
      <c r="B15" s="363" t="s">
        <v>223</v>
      </c>
      <c r="C15" s="364"/>
      <c r="D15" s="365"/>
      <c r="E15" s="365"/>
      <c r="F15" s="364"/>
      <c r="G15" s="366">
        <f>SUM(G16:G19)</f>
        <v>876166.05886080419</v>
      </c>
      <c r="H15" s="367">
        <f>SUM(H16:H19)</f>
        <v>0.2574033770267613</v>
      </c>
    </row>
    <row r="16" spans="1:10" ht="20.100000000000001" customHeight="1">
      <c r="A16" s="368" t="s">
        <v>221</v>
      </c>
      <c r="B16" s="369" t="s">
        <v>630</v>
      </c>
      <c r="C16" s="370">
        <v>14505.08</v>
      </c>
      <c r="D16" s="371">
        <f>C16/'Dias trabalhados'!$C$15</f>
        <v>87.355442245151977</v>
      </c>
      <c r="E16" s="548">
        <f>$C$3*$E$3/3</f>
        <v>960</v>
      </c>
      <c r="F16" s="371">
        <f>D16*E16</f>
        <v>83861.224555345892</v>
      </c>
      <c r="G16" s="371">
        <f>F16*$H$51</f>
        <v>146027.6764768007</v>
      </c>
      <c r="H16" s="373">
        <f>G16/$G$36</f>
        <v>4.2900562837793553E-2</v>
      </c>
    </row>
    <row r="17" spans="1:9" ht="20.100000000000001" customHeight="1">
      <c r="A17" s="368" t="s">
        <v>221</v>
      </c>
      <c r="B17" s="369" t="s">
        <v>631</v>
      </c>
      <c r="C17" s="370">
        <v>14505.08</v>
      </c>
      <c r="D17" s="371">
        <f>C17/'Dias trabalhados'!$C$15</f>
        <v>87.355442245151977</v>
      </c>
      <c r="E17" s="548">
        <f>$C$3*$E$3/3</f>
        <v>960</v>
      </c>
      <c r="F17" s="371">
        <f t="shared" ref="F17:F19" si="2">D17*E17</f>
        <v>83861.224555345892</v>
      </c>
      <c r="G17" s="371">
        <f t="shared" ref="G17:G19" si="3">F17*$H$51</f>
        <v>146027.6764768007</v>
      </c>
      <c r="H17" s="373">
        <f>G17/$G$36</f>
        <v>4.2900562837793553E-2</v>
      </c>
    </row>
    <row r="18" spans="1:9" ht="20.100000000000001" customHeight="1">
      <c r="A18" s="368" t="s">
        <v>221</v>
      </c>
      <c r="B18" s="369" t="s">
        <v>632</v>
      </c>
      <c r="C18" s="370">
        <v>14505.08</v>
      </c>
      <c r="D18" s="371">
        <f>C18/'Dias trabalhados'!$C$15</f>
        <v>87.355442245151977</v>
      </c>
      <c r="E18" s="548">
        <f>$C$3*$E$3*(12/18)</f>
        <v>1920</v>
      </c>
      <c r="F18" s="371">
        <f t="shared" si="2"/>
        <v>167722.44911069178</v>
      </c>
      <c r="G18" s="371">
        <f t="shared" si="3"/>
        <v>292055.3529536014</v>
      </c>
      <c r="H18" s="373">
        <f>G18/$G$36</f>
        <v>8.5801125675587106E-2</v>
      </c>
    </row>
    <row r="19" spans="1:9" ht="20.100000000000001" customHeight="1">
      <c r="A19" s="368" t="s">
        <v>221</v>
      </c>
      <c r="B19" s="369" t="s">
        <v>633</v>
      </c>
      <c r="C19" s="370">
        <v>14505.08</v>
      </c>
      <c r="D19" s="371">
        <f>C19/'Dias trabalhados'!$C$15</f>
        <v>87.355442245151977</v>
      </c>
      <c r="E19" s="548">
        <f>$C$3*$E$3*(12/18)</f>
        <v>1920</v>
      </c>
      <c r="F19" s="371">
        <f t="shared" si="2"/>
        <v>167722.44911069178</v>
      </c>
      <c r="G19" s="371">
        <f t="shared" si="3"/>
        <v>292055.3529536014</v>
      </c>
      <c r="H19" s="373">
        <f>G19/$G$36</f>
        <v>8.5801125675587106E-2</v>
      </c>
    </row>
    <row r="20" spans="1:9" ht="6" customHeight="1">
      <c r="A20" s="368"/>
      <c r="B20" s="375"/>
      <c r="C20" s="370"/>
      <c r="D20" s="549"/>
      <c r="E20" s="401"/>
      <c r="F20" s="550"/>
      <c r="G20" s="376"/>
      <c r="H20" s="377"/>
      <c r="I20" s="378"/>
    </row>
    <row r="21" spans="1:9" ht="15" customHeight="1">
      <c r="A21" s="990" t="s">
        <v>285</v>
      </c>
      <c r="B21" s="995" t="s">
        <v>211</v>
      </c>
      <c r="C21" s="996" t="s">
        <v>224</v>
      </c>
      <c r="D21" s="384" t="s">
        <v>170</v>
      </c>
      <c r="E21" s="385" t="s">
        <v>169</v>
      </c>
      <c r="F21" s="384" t="s">
        <v>225</v>
      </c>
      <c r="G21" s="997" t="s">
        <v>226</v>
      </c>
      <c r="H21" s="998" t="s">
        <v>216</v>
      </c>
    </row>
    <row r="22" spans="1:9" ht="15" customHeight="1">
      <c r="A22" s="990"/>
      <c r="B22" s="995"/>
      <c r="C22" s="996"/>
      <c r="D22" s="386" t="s">
        <v>63</v>
      </c>
      <c r="E22" s="386" t="s">
        <v>173</v>
      </c>
      <c r="F22" s="387" t="s">
        <v>173</v>
      </c>
      <c r="G22" s="996"/>
      <c r="H22" s="998"/>
    </row>
    <row r="23" spans="1:9" ht="20.100000000000001" customHeight="1">
      <c r="A23" s="362">
        <v>3</v>
      </c>
      <c r="B23" s="363" t="s">
        <v>393</v>
      </c>
      <c r="C23" s="364"/>
      <c r="D23" s="365"/>
      <c r="E23" s="365"/>
      <c r="F23" s="364"/>
      <c r="G23" s="366">
        <f>G24</f>
        <v>401661.14379008749</v>
      </c>
      <c r="H23" s="367">
        <f>H24</f>
        <v>0.1180015292608195</v>
      </c>
    </row>
    <row r="24" spans="1:9" ht="20.100000000000001" customHeight="1">
      <c r="A24" s="388"/>
      <c r="B24" s="389" t="s">
        <v>618</v>
      </c>
      <c r="C24" s="390"/>
      <c r="D24" s="388"/>
      <c r="E24" s="391"/>
      <c r="F24" s="392"/>
      <c r="G24" s="393">
        <f>G25</f>
        <v>401661.14379008749</v>
      </c>
      <c r="H24" s="394">
        <f>SUM(H25:H25)</f>
        <v>0.1180015292608195</v>
      </c>
    </row>
    <row r="25" spans="1:9" ht="20.100000000000001" customHeight="1">
      <c r="A25" s="368"/>
      <c r="B25" s="369" t="s">
        <v>619</v>
      </c>
      <c r="C25" s="371" t="s">
        <v>380</v>
      </c>
      <c r="D25" s="371">
        <v>1500</v>
      </c>
      <c r="E25" s="371">
        <f>C3*10</f>
        <v>180</v>
      </c>
      <c r="F25" s="371">
        <f t="shared" ref="F25" si="4">D25*E25</f>
        <v>270000</v>
      </c>
      <c r="G25" s="371">
        <f>F25*$H$52</f>
        <v>401661.14379008749</v>
      </c>
      <c r="H25" s="373">
        <f>G25/$G$36</f>
        <v>0.1180015292608195</v>
      </c>
    </row>
    <row r="26" spans="1:9" ht="6" customHeight="1">
      <c r="A26" s="347"/>
      <c r="B26" s="348"/>
      <c r="C26" s="370"/>
      <c r="D26" s="399"/>
      <c r="E26" s="400"/>
      <c r="F26" s="401"/>
      <c r="G26" s="370"/>
      <c r="H26" s="373"/>
    </row>
    <row r="27" spans="1:9" ht="15" customHeight="1">
      <c r="A27" s="990" t="s">
        <v>285</v>
      </c>
      <c r="B27" s="995" t="s">
        <v>211</v>
      </c>
      <c r="C27" s="996" t="s">
        <v>224</v>
      </c>
      <c r="D27" s="384" t="s">
        <v>170</v>
      </c>
      <c r="E27" s="385" t="s">
        <v>169</v>
      </c>
      <c r="F27" s="384" t="s">
        <v>225</v>
      </c>
      <c r="G27" s="997" t="s">
        <v>226</v>
      </c>
      <c r="H27" s="998" t="s">
        <v>216</v>
      </c>
    </row>
    <row r="28" spans="1:9" ht="15" customHeight="1">
      <c r="A28" s="990"/>
      <c r="B28" s="995"/>
      <c r="C28" s="996"/>
      <c r="D28" s="386" t="s">
        <v>63</v>
      </c>
      <c r="E28" s="386" t="s">
        <v>173</v>
      </c>
      <c r="F28" s="387" t="s">
        <v>173</v>
      </c>
      <c r="G28" s="996"/>
      <c r="H28" s="998"/>
    </row>
    <row r="29" spans="1:9" ht="20.100000000000001" customHeight="1">
      <c r="A29" s="362">
        <v>4</v>
      </c>
      <c r="B29" s="363" t="s">
        <v>227</v>
      </c>
      <c r="C29" s="364"/>
      <c r="D29" s="365"/>
      <c r="E29" s="365"/>
      <c r="F29" s="364"/>
      <c r="G29" s="366">
        <f>SUM(G30:G35)</f>
        <v>114062.69368163263</v>
      </c>
      <c r="H29" s="367">
        <f>SUM(H30:H35)</f>
        <v>3.3509769351937078E-2</v>
      </c>
    </row>
    <row r="30" spans="1:9" ht="20.100000000000001" customHeight="1">
      <c r="A30" s="368" t="s">
        <v>221</v>
      </c>
      <c r="B30" s="402" t="s">
        <v>387</v>
      </c>
      <c r="C30" s="403" t="s">
        <v>391</v>
      </c>
      <c r="D30" s="396">
        <v>18</v>
      </c>
      <c r="E30" s="395">
        <v>3561.89</v>
      </c>
      <c r="F30" s="371">
        <f t="shared" ref="F30:F35" si="5">D30*E30</f>
        <v>64114.02</v>
      </c>
      <c r="G30" s="371">
        <f>F30*$H$53</f>
        <v>81318.260235568494</v>
      </c>
      <c r="H30" s="373">
        <f t="shared" ref="H30:H35" si="6">G30/$G$36</f>
        <v>2.3889985907228253E-2</v>
      </c>
    </row>
    <row r="31" spans="1:9" ht="20.100000000000001" customHeight="1">
      <c r="A31" s="368"/>
      <c r="B31" s="404" t="s">
        <v>388</v>
      </c>
      <c r="C31" s="395" t="s">
        <v>284</v>
      </c>
      <c r="D31" s="396">
        <v>60</v>
      </c>
      <c r="E31" s="395">
        <v>5</v>
      </c>
      <c r="F31" s="371">
        <f t="shared" si="5"/>
        <v>300</v>
      </c>
      <c r="G31" s="371">
        <f t="shared" ref="G31:G35" si="7">F31*$H$53</f>
        <v>380.50145772594749</v>
      </c>
      <c r="H31" s="373">
        <f t="shared" si="6"/>
        <v>1.1178515669690461E-4</v>
      </c>
    </row>
    <row r="32" spans="1:9" ht="20.100000000000001" customHeight="1">
      <c r="A32" s="368"/>
      <c r="B32" s="404" t="s">
        <v>389</v>
      </c>
      <c r="C32" s="395" t="s">
        <v>63</v>
      </c>
      <c r="D32" s="396">
        <v>2300</v>
      </c>
      <c r="E32" s="395">
        <v>0.3</v>
      </c>
      <c r="F32" s="371">
        <f t="shared" si="5"/>
        <v>690</v>
      </c>
      <c r="G32" s="371">
        <f t="shared" si="7"/>
        <v>875.15335276967915</v>
      </c>
      <c r="H32" s="373">
        <f t="shared" si="6"/>
        <v>2.571058604028806E-4</v>
      </c>
    </row>
    <row r="33" spans="1:8" ht="20.100000000000001" customHeight="1">
      <c r="A33" s="368"/>
      <c r="B33" s="404" t="s">
        <v>390</v>
      </c>
      <c r="C33" s="395" t="s">
        <v>63</v>
      </c>
      <c r="D33" s="396">
        <v>12</v>
      </c>
      <c r="E33" s="395">
        <v>18.899999999999999</v>
      </c>
      <c r="F33" s="371">
        <f t="shared" si="5"/>
        <v>226.79999999999998</v>
      </c>
      <c r="G33" s="371">
        <f t="shared" si="7"/>
        <v>287.65910204081626</v>
      </c>
      <c r="H33" s="373">
        <f t="shared" si="6"/>
        <v>8.4509578462859875E-5</v>
      </c>
    </row>
    <row r="34" spans="1:8" ht="20.100000000000001" customHeight="1">
      <c r="A34" s="368"/>
      <c r="B34" s="404" t="s">
        <v>368</v>
      </c>
      <c r="C34" s="395" t="s">
        <v>63</v>
      </c>
      <c r="D34" s="396">
        <v>0</v>
      </c>
      <c r="E34" s="395">
        <v>30</v>
      </c>
      <c r="F34" s="371">
        <f t="shared" si="5"/>
        <v>0</v>
      </c>
      <c r="G34" s="371">
        <f t="shared" si="7"/>
        <v>0</v>
      </c>
      <c r="H34" s="373">
        <f t="shared" si="6"/>
        <v>0</v>
      </c>
    </row>
    <row r="35" spans="1:8" ht="20.100000000000001" customHeight="1">
      <c r="A35" s="368"/>
      <c r="B35" s="404" t="s">
        <v>283</v>
      </c>
      <c r="C35" s="395" t="s">
        <v>392</v>
      </c>
      <c r="D35" s="396">
        <v>120</v>
      </c>
      <c r="E35" s="395">
        <v>205</v>
      </c>
      <c r="F35" s="371">
        <f t="shared" si="5"/>
        <v>24600</v>
      </c>
      <c r="G35" s="371">
        <f t="shared" si="7"/>
        <v>31201.119533527693</v>
      </c>
      <c r="H35" s="373">
        <f t="shared" si="6"/>
        <v>9.1663828491461777E-3</v>
      </c>
    </row>
    <row r="36" spans="1:8" ht="20.100000000000001" customHeight="1">
      <c r="A36" s="405"/>
      <c r="B36" s="405" t="s">
        <v>228</v>
      </c>
      <c r="C36" s="405"/>
      <c r="D36" s="405"/>
      <c r="E36" s="406"/>
      <c r="F36" s="407"/>
      <c r="G36" s="408">
        <f>G7+G15+G23+G29</f>
        <v>3403863.8846984212</v>
      </c>
      <c r="H36" s="409">
        <f>H7+H15+H24+H29</f>
        <v>1</v>
      </c>
    </row>
    <row r="37" spans="1:8" ht="6" customHeight="1">
      <c r="A37" s="410"/>
      <c r="B37" s="410"/>
      <c r="C37" s="410"/>
      <c r="D37" s="410"/>
      <c r="E37" s="410"/>
      <c r="F37" s="410"/>
      <c r="G37" s="410"/>
      <c r="H37" s="410"/>
    </row>
    <row r="38" spans="1:8" ht="20.100000000000001" customHeight="1">
      <c r="A38" s="993" t="s">
        <v>229</v>
      </c>
      <c r="B38" s="993"/>
      <c r="C38" s="411"/>
      <c r="D38" s="411"/>
      <c r="E38" s="411"/>
      <c r="F38" s="411"/>
      <c r="G38" s="411"/>
      <c r="H38" s="411"/>
    </row>
    <row r="39" spans="1:8" ht="3" customHeight="1">
      <c r="A39" s="412"/>
      <c r="B39" s="413"/>
      <c r="C39" s="412"/>
      <c r="D39" s="414"/>
      <c r="E39" s="415"/>
      <c r="F39" s="416"/>
      <c r="G39" s="370"/>
      <c r="H39" s="370"/>
    </row>
    <row r="40" spans="1:8">
      <c r="A40" s="417"/>
      <c r="B40" s="417" t="s">
        <v>230</v>
      </c>
      <c r="C40" s="418"/>
      <c r="D40" s="419"/>
      <c r="E40" s="420"/>
      <c r="F40" s="421"/>
      <c r="G40" s="422"/>
      <c r="H40" s="423">
        <v>0.81789999999999996</v>
      </c>
    </row>
    <row r="41" spans="1:8">
      <c r="A41" s="417"/>
      <c r="B41" s="417" t="s">
        <v>231</v>
      </c>
      <c r="C41" s="418"/>
      <c r="D41" s="419"/>
      <c r="E41" s="420"/>
      <c r="F41" s="421"/>
      <c r="G41" s="422"/>
      <c r="H41" s="423">
        <v>0.2</v>
      </c>
    </row>
    <row r="42" spans="1:8">
      <c r="A42" s="424"/>
      <c r="B42" s="424" t="s">
        <v>232</v>
      </c>
      <c r="C42" s="424"/>
      <c r="D42" s="419"/>
      <c r="E42" s="420"/>
      <c r="F42" s="421"/>
      <c r="G42" s="422"/>
      <c r="H42" s="423">
        <v>0.1729</v>
      </c>
    </row>
    <row r="43" spans="1:8">
      <c r="A43" s="424"/>
      <c r="B43" s="424" t="s">
        <v>233</v>
      </c>
      <c r="C43" s="424"/>
      <c r="D43" s="419"/>
      <c r="E43" s="420"/>
      <c r="F43" s="421"/>
      <c r="G43" s="422"/>
      <c r="H43" s="423">
        <v>8.7599999999999997E-2</v>
      </c>
    </row>
    <row r="44" spans="1:8">
      <c r="A44" s="424"/>
      <c r="B44" s="424" t="s">
        <v>234</v>
      </c>
      <c r="C44" s="424"/>
      <c r="D44" s="419"/>
      <c r="E44" s="420"/>
      <c r="F44" s="421"/>
      <c r="G44" s="422"/>
      <c r="H44" s="423">
        <f>(1/(1-(C46+C47+C48)))-1</f>
        <v>0.16618075801749277</v>
      </c>
    </row>
    <row r="45" spans="1:8">
      <c r="A45" s="425"/>
      <c r="B45" s="425" t="s">
        <v>235</v>
      </c>
      <c r="C45" s="417"/>
      <c r="D45" s="419"/>
      <c r="E45" s="420"/>
      <c r="F45" s="421"/>
      <c r="G45" s="422"/>
      <c r="H45" s="423"/>
    </row>
    <row r="46" spans="1:8">
      <c r="A46" s="417"/>
      <c r="B46" s="417" t="s">
        <v>236</v>
      </c>
      <c r="C46" s="426">
        <v>1.6500000000000001E-2</v>
      </c>
      <c r="D46" s="419"/>
      <c r="E46" s="420"/>
      <c r="F46" s="421"/>
      <c r="G46" s="422"/>
      <c r="H46" s="427"/>
    </row>
    <row r="47" spans="1:8">
      <c r="A47" s="417"/>
      <c r="B47" s="417" t="s">
        <v>237</v>
      </c>
      <c r="C47" s="426">
        <v>7.5999999999999998E-2</v>
      </c>
      <c r="D47" s="419"/>
      <c r="E47" s="420"/>
      <c r="F47" s="421"/>
      <c r="G47" s="422"/>
      <c r="H47" s="427"/>
    </row>
    <row r="48" spans="1:8">
      <c r="A48" s="417"/>
      <c r="B48" s="417" t="s">
        <v>238</v>
      </c>
      <c r="C48" s="426">
        <v>0.05</v>
      </c>
      <c r="D48" s="419"/>
      <c r="E48" s="420"/>
      <c r="F48" s="421"/>
      <c r="G48" s="422"/>
      <c r="H48" s="427"/>
    </row>
    <row r="49" spans="1:11" ht="3" customHeight="1">
      <c r="A49" s="412"/>
      <c r="B49" s="428"/>
      <c r="C49" s="429"/>
      <c r="D49" s="430"/>
      <c r="E49" s="415"/>
      <c r="F49" s="428"/>
      <c r="G49" s="370"/>
      <c r="H49" s="414"/>
    </row>
    <row r="50" spans="1:11">
      <c r="A50" s="431" t="s">
        <v>239</v>
      </c>
      <c r="B50" s="432" t="str">
        <f>B7</f>
        <v>EQUIPE TÉCNICA PERMANENTE</v>
      </c>
      <c r="C50" s="994" t="s">
        <v>240</v>
      </c>
      <c r="D50" s="994"/>
      <c r="E50" s="994"/>
      <c r="F50" s="433"/>
      <c r="G50" s="434"/>
      <c r="H50" s="435">
        <f>(1+H40+H42)*(1+H43)*(1+H44)</f>
        <v>2.5250076734693874</v>
      </c>
    </row>
    <row r="51" spans="1:11">
      <c r="A51" s="431" t="s">
        <v>241</v>
      </c>
      <c r="B51" s="432" t="e">
        <f>#REF!</f>
        <v>#REF!</v>
      </c>
      <c r="C51" s="994" t="s">
        <v>242</v>
      </c>
      <c r="D51" s="994"/>
      <c r="E51" s="994"/>
      <c r="F51" s="433"/>
      <c r="G51" s="436"/>
      <c r="H51" s="437">
        <f>(1+H41+H42)*(1+H43)*(1+H44)</f>
        <v>1.7413015043731779</v>
      </c>
    </row>
    <row r="52" spans="1:11">
      <c r="A52" s="431" t="s">
        <v>243</v>
      </c>
      <c r="B52" s="432" t="str">
        <f>B23</f>
        <v>SERVIÇO DE APOIO TÉCNICO</v>
      </c>
      <c r="C52" s="994" t="s">
        <v>244</v>
      </c>
      <c r="D52" s="994"/>
      <c r="E52" s="994"/>
      <c r="F52" s="433"/>
      <c r="G52" s="436"/>
      <c r="H52" s="437">
        <f>(1+H42)*(1+H43)*(1+H44)</f>
        <v>1.487633865889213</v>
      </c>
    </row>
    <row r="53" spans="1:11">
      <c r="A53" s="431" t="s">
        <v>245</v>
      </c>
      <c r="B53" s="432" t="str">
        <f>B29</f>
        <v>DESPESAS DIRETAS</v>
      </c>
      <c r="C53" s="994" t="s">
        <v>246</v>
      </c>
      <c r="D53" s="994"/>
      <c r="E53" s="994"/>
      <c r="F53" s="433"/>
      <c r="G53" s="436"/>
      <c r="H53" s="437">
        <f>(1+H43)*(1+H44)</f>
        <v>1.2683381924198249</v>
      </c>
    </row>
    <row r="54" spans="1:11" ht="15" customHeight="1">
      <c r="A54" s="346" t="s">
        <v>247</v>
      </c>
    </row>
    <row r="55" spans="1:11" ht="30" customHeight="1">
      <c r="A55" s="349" t="s">
        <v>248</v>
      </c>
      <c r="B55" s="992" t="s">
        <v>249</v>
      </c>
      <c r="C55" s="992"/>
      <c r="D55" s="992"/>
      <c r="E55" s="992"/>
      <c r="F55" s="992"/>
      <c r="G55" s="992"/>
      <c r="H55" s="350"/>
    </row>
    <row r="56" spans="1:11" ht="30" customHeight="1">
      <c r="A56" s="349" t="s">
        <v>250</v>
      </c>
      <c r="B56" s="992" t="s">
        <v>251</v>
      </c>
      <c r="C56" s="992"/>
      <c r="D56" s="992"/>
      <c r="E56" s="992"/>
      <c r="F56" s="992"/>
      <c r="G56" s="992"/>
      <c r="H56" s="350"/>
    </row>
    <row r="57" spans="1:11" ht="14.25" customHeight="1">
      <c r="A57" s="349" t="s">
        <v>252</v>
      </c>
      <c r="B57" s="992" t="s">
        <v>253</v>
      </c>
      <c r="C57" s="992"/>
      <c r="D57" s="992"/>
      <c r="E57" s="992"/>
      <c r="F57" s="992"/>
      <c r="G57" s="992"/>
      <c r="H57" s="350"/>
    </row>
    <row r="58" spans="1:11" ht="9.9499999999999993" customHeight="1">
      <c r="A58" s="351"/>
      <c r="B58" s="351"/>
      <c r="C58" s="351"/>
      <c r="D58" s="351"/>
      <c r="E58" s="351"/>
      <c r="F58" s="351"/>
      <c r="G58" s="351"/>
      <c r="H58" s="351"/>
      <c r="J58" s="438"/>
      <c r="K58" s="438"/>
    </row>
    <row r="61" spans="1:11">
      <c r="D61" s="439"/>
    </row>
    <row r="62" spans="1:11">
      <c r="A62" s="439"/>
      <c r="B62" s="439"/>
      <c r="D62" s="439"/>
    </row>
    <row r="63" spans="1:11">
      <c r="D63" s="352"/>
    </row>
    <row r="64" spans="1:11">
      <c r="D64" s="439"/>
    </row>
    <row r="65" spans="1:9">
      <c r="A65" s="440"/>
      <c r="B65" s="351"/>
      <c r="C65" s="357"/>
      <c r="D65" s="439"/>
      <c r="E65" s="357"/>
      <c r="F65" s="357"/>
      <c r="G65" s="357"/>
      <c r="H65" s="357"/>
      <c r="I65" s="354"/>
    </row>
  </sheetData>
  <mergeCells count="32">
    <mergeCell ref="H13:H14"/>
    <mergeCell ref="A1:H1"/>
    <mergeCell ref="B2:F2"/>
    <mergeCell ref="A5:A6"/>
    <mergeCell ref="B5:B6"/>
    <mergeCell ref="C5:D5"/>
    <mergeCell ref="F5:F6"/>
    <mergeCell ref="G5:G6"/>
    <mergeCell ref="H5:H6"/>
    <mergeCell ref="A13:A14"/>
    <mergeCell ref="B13:B14"/>
    <mergeCell ref="C13:D13"/>
    <mergeCell ref="F13:F14"/>
    <mergeCell ref="G13:G14"/>
    <mergeCell ref="A27:A28"/>
    <mergeCell ref="B27:B28"/>
    <mergeCell ref="C27:C28"/>
    <mergeCell ref="G27:G28"/>
    <mergeCell ref="H27:H28"/>
    <mergeCell ref="A21:A22"/>
    <mergeCell ref="B21:B22"/>
    <mergeCell ref="C21:C22"/>
    <mergeCell ref="G21:G22"/>
    <mergeCell ref="H21:H22"/>
    <mergeCell ref="B56:G56"/>
    <mergeCell ref="B57:G57"/>
    <mergeCell ref="A38:B38"/>
    <mergeCell ref="C50:E50"/>
    <mergeCell ref="C51:E51"/>
    <mergeCell ref="C52:E52"/>
    <mergeCell ref="C53:E53"/>
    <mergeCell ref="B55:G55"/>
  </mergeCells>
  <printOptions horizontalCentered="1"/>
  <pageMargins left="0.51181102362204722" right="0.51181102362204722" top="0.78740157480314965" bottom="0.78740157480314965" header="0.31496062992125984" footer="0.31496062992125984"/>
  <pageSetup paperSize="9" scale="66" fitToHeight="0" orientation="portrait" r:id="rId1"/>
  <headerFooter>
    <oddFooter>&amp;L&amp;F&amp;C&amp;A&amp;R&amp;P/&amp;N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K66"/>
  <sheetViews>
    <sheetView workbookViewId="0">
      <selection activeCell="E40" sqref="E40"/>
    </sheetView>
  </sheetViews>
  <sheetFormatPr defaultRowHeight="12.75"/>
  <cols>
    <col min="1" max="1" width="9" style="353"/>
    <col min="2" max="2" width="49.875" style="353" bestFit="1" customWidth="1"/>
    <col min="3" max="3" width="10.5" style="353" bestFit="1" customWidth="1"/>
    <col min="4" max="4" width="10.625" style="353" customWidth="1"/>
    <col min="5" max="5" width="12.625" style="353" customWidth="1"/>
    <col min="6" max="6" width="11.125" style="353" customWidth="1"/>
    <col min="7" max="7" width="12.25" style="353" bestFit="1" customWidth="1"/>
    <col min="8" max="8" width="9.875" style="353" bestFit="1" customWidth="1"/>
    <col min="9" max="12" width="11.125" style="353" customWidth="1"/>
    <col min="13" max="16384" width="9" style="353"/>
  </cols>
  <sheetData>
    <row r="1" spans="1:10" s="343" customFormat="1" ht="39.950000000000003" customHeight="1">
      <c r="A1" s="988" t="s">
        <v>686</v>
      </c>
      <c r="B1" s="988"/>
      <c r="C1" s="988"/>
      <c r="D1" s="988"/>
      <c r="E1" s="988"/>
      <c r="F1" s="988"/>
      <c r="G1" s="988"/>
      <c r="H1" s="988"/>
    </row>
    <row r="2" spans="1:10" ht="20.100000000000001" customHeight="1">
      <c r="A2" s="352"/>
      <c r="B2" s="989"/>
      <c r="C2" s="989"/>
      <c r="D2" s="989"/>
      <c r="E2" s="989"/>
      <c r="F2" s="989"/>
      <c r="G2" s="344"/>
      <c r="H2" s="345"/>
    </row>
    <row r="3" spans="1:10" ht="15.6" customHeight="1">
      <c r="A3" s="346"/>
      <c r="B3" s="442" t="s">
        <v>411</v>
      </c>
      <c r="C3" s="441">
        <v>12</v>
      </c>
      <c r="D3" s="441" t="s">
        <v>27</v>
      </c>
      <c r="E3" s="441">
        <v>160</v>
      </c>
      <c r="F3" s="440" t="s">
        <v>160</v>
      </c>
      <c r="G3" s="344" t="s">
        <v>210</v>
      </c>
      <c r="H3" s="625">
        <v>44146</v>
      </c>
    </row>
    <row r="4" spans="1:10" ht="9.9499999999999993" customHeight="1">
      <c r="F4" s="356"/>
      <c r="G4" s="357"/>
    </row>
    <row r="5" spans="1:10" ht="15" customHeight="1">
      <c r="A5" s="990" t="s">
        <v>285</v>
      </c>
      <c r="B5" s="991" t="s">
        <v>211</v>
      </c>
      <c r="C5" s="1001" t="s">
        <v>212</v>
      </c>
      <c r="D5" s="1002"/>
      <c r="E5" s="358" t="s">
        <v>213</v>
      </c>
      <c r="F5" s="1003" t="s">
        <v>214</v>
      </c>
      <c r="G5" s="1003" t="s">
        <v>215</v>
      </c>
      <c r="H5" s="1005" t="s">
        <v>216</v>
      </c>
    </row>
    <row r="6" spans="1:10" ht="15" customHeight="1">
      <c r="A6" s="990"/>
      <c r="B6" s="991"/>
      <c r="C6" s="359" t="s">
        <v>217</v>
      </c>
      <c r="D6" s="360" t="s">
        <v>218</v>
      </c>
      <c r="E6" s="361" t="s">
        <v>219</v>
      </c>
      <c r="F6" s="1003"/>
      <c r="G6" s="1004"/>
      <c r="H6" s="1005"/>
    </row>
    <row r="7" spans="1:10" ht="20.100000000000001" customHeight="1">
      <c r="A7" s="362">
        <v>1</v>
      </c>
      <c r="B7" s="363" t="s">
        <v>220</v>
      </c>
      <c r="C7" s="364"/>
      <c r="D7" s="365"/>
      <c r="E7" s="365"/>
      <c r="F7" s="364"/>
      <c r="G7" s="366">
        <f>SUM(G8:G12)</f>
        <v>839649.48768517212</v>
      </c>
      <c r="H7" s="367">
        <f>SUM(H8:H12)</f>
        <v>0.71025346999880834</v>
      </c>
    </row>
    <row r="8" spans="1:10" ht="20.100000000000001" customHeight="1">
      <c r="A8" s="368" t="s">
        <v>221</v>
      </c>
      <c r="B8" s="369" t="s">
        <v>624</v>
      </c>
      <c r="C8" s="370">
        <v>9500</v>
      </c>
      <c r="D8" s="371">
        <f>C8/$E$3</f>
        <v>59.375</v>
      </c>
      <c r="E8" s="548">
        <f>$C$3*$E$3</f>
        <v>1920</v>
      </c>
      <c r="F8" s="371">
        <f>D8*E8</f>
        <v>114000</v>
      </c>
      <c r="G8" s="371">
        <f>F8*$H$51</f>
        <v>287850.87477551016</v>
      </c>
      <c r="H8" s="373">
        <f>G8/$G$37</f>
        <v>0.2434909871917367</v>
      </c>
    </row>
    <row r="9" spans="1:10" ht="20.100000000000001" customHeight="1">
      <c r="A9" s="368" t="s">
        <v>221</v>
      </c>
      <c r="B9" s="369" t="s">
        <v>685</v>
      </c>
      <c r="C9" s="370">
        <v>5015.7</v>
      </c>
      <c r="D9" s="371">
        <f t="shared" ref="D9:D12" si="0">C9/$E$3</f>
        <v>31.348125</v>
      </c>
      <c r="E9" s="548">
        <f t="shared" ref="E9:E12" si="1">$C$3*$E$3</f>
        <v>1920</v>
      </c>
      <c r="F9" s="371">
        <f>D9*E9</f>
        <v>60188.4</v>
      </c>
      <c r="G9" s="371">
        <f>F9*$H$51</f>
        <v>151976.17185384489</v>
      </c>
      <c r="H9" s="373">
        <f>G9/$G$37</f>
        <v>0.12855555204816776</v>
      </c>
      <c r="J9" s="374"/>
    </row>
    <row r="10" spans="1:10" ht="20.100000000000001" customHeight="1">
      <c r="A10" s="368" t="s">
        <v>221</v>
      </c>
      <c r="B10" s="369" t="s">
        <v>685</v>
      </c>
      <c r="C10" s="370">
        <v>5015.7</v>
      </c>
      <c r="D10" s="371">
        <f t="shared" si="0"/>
        <v>31.348125</v>
      </c>
      <c r="E10" s="548">
        <f t="shared" si="1"/>
        <v>1920</v>
      </c>
      <c r="F10" s="371">
        <f>D10*E10</f>
        <v>60188.4</v>
      </c>
      <c r="G10" s="371">
        <f>F10*$H$51</f>
        <v>151976.17185384489</v>
      </c>
      <c r="H10" s="373">
        <f>G10/$G$37</f>
        <v>0.12855555204816776</v>
      </c>
    </row>
    <row r="11" spans="1:10" ht="20.100000000000001" customHeight="1">
      <c r="A11" s="368" t="s">
        <v>221</v>
      </c>
      <c r="B11" s="369" t="s">
        <v>627</v>
      </c>
      <c r="C11" s="370">
        <v>5015.7</v>
      </c>
      <c r="D11" s="371">
        <f t="shared" si="0"/>
        <v>31.348125</v>
      </c>
      <c r="E11" s="548">
        <f t="shared" si="1"/>
        <v>1920</v>
      </c>
      <c r="F11" s="371">
        <f>D11*E11</f>
        <v>60188.4</v>
      </c>
      <c r="G11" s="371">
        <f>F11*$H$51</f>
        <v>151976.17185384489</v>
      </c>
      <c r="H11" s="373">
        <f>G11/$G$37</f>
        <v>0.12855555204816776</v>
      </c>
    </row>
    <row r="12" spans="1:10" ht="20.100000000000001" customHeight="1">
      <c r="A12" s="368" t="s">
        <v>221</v>
      </c>
      <c r="B12" s="369" t="s">
        <v>621</v>
      </c>
      <c r="C12" s="370">
        <v>3164.02</v>
      </c>
      <c r="D12" s="371">
        <f t="shared" si="0"/>
        <v>19.775124999999999</v>
      </c>
      <c r="E12" s="548">
        <f t="shared" si="1"/>
        <v>1920</v>
      </c>
      <c r="F12" s="371">
        <f>D12*E12</f>
        <v>37968.239999999998</v>
      </c>
      <c r="G12" s="371">
        <f>F12*$H$51</f>
        <v>95870.097348127325</v>
      </c>
      <c r="H12" s="373">
        <f>G12/$G$37</f>
        <v>8.1095826662568274E-2</v>
      </c>
    </row>
    <row r="13" spans="1:10" ht="6" customHeight="1">
      <c r="A13" s="368"/>
      <c r="B13" s="375"/>
      <c r="C13" s="370"/>
      <c r="D13" s="368"/>
      <c r="E13" s="370"/>
      <c r="F13" s="371"/>
      <c r="G13" s="376"/>
      <c r="H13" s="377"/>
      <c r="I13" s="378"/>
    </row>
    <row r="14" spans="1:10" ht="15" customHeight="1">
      <c r="A14" s="1006" t="s">
        <v>285</v>
      </c>
      <c r="B14" s="1008" t="s">
        <v>211</v>
      </c>
      <c r="C14" s="998" t="s">
        <v>212</v>
      </c>
      <c r="D14" s="1004"/>
      <c r="E14" s="381" t="s">
        <v>213</v>
      </c>
      <c r="F14" s="1010" t="s">
        <v>214</v>
      </c>
      <c r="G14" s="1010" t="s">
        <v>222</v>
      </c>
      <c r="H14" s="999" t="s">
        <v>216</v>
      </c>
    </row>
    <row r="15" spans="1:10" ht="15" customHeight="1">
      <c r="A15" s="1007"/>
      <c r="B15" s="1009"/>
      <c r="C15" s="381" t="s">
        <v>217</v>
      </c>
      <c r="D15" s="380" t="s">
        <v>218</v>
      </c>
      <c r="E15" s="381" t="s">
        <v>219</v>
      </c>
      <c r="F15" s="1011"/>
      <c r="G15" s="1011"/>
      <c r="H15" s="1000"/>
    </row>
    <row r="16" spans="1:10" ht="20.100000000000001" customHeight="1">
      <c r="A16" s="362">
        <v>2</v>
      </c>
      <c r="B16" s="363" t="s">
        <v>223</v>
      </c>
      <c r="C16" s="364"/>
      <c r="D16" s="365"/>
      <c r="E16" s="365"/>
      <c r="F16" s="364"/>
      <c r="G16" s="366">
        <f>SUM(G17:G20)</f>
        <v>121689.7303973339</v>
      </c>
      <c r="H16" s="367">
        <f>SUM(H17:H20)</f>
        <v>0.1029364687831896</v>
      </c>
    </row>
    <row r="17" spans="1:9" ht="20.100000000000001" customHeight="1">
      <c r="A17" s="368" t="s">
        <v>221</v>
      </c>
      <c r="B17" s="369" t="s">
        <v>383</v>
      </c>
      <c r="C17" s="370">
        <v>14505.08</v>
      </c>
      <c r="D17" s="371">
        <f>C17/'Dias trabalhados'!$C$15</f>
        <v>87.355442245151977</v>
      </c>
      <c r="E17" s="382">
        <v>200</v>
      </c>
      <c r="F17" s="371">
        <f>D17*E17</f>
        <v>17471.088449030394</v>
      </c>
      <c r="G17" s="371">
        <f>F17*$H$52</f>
        <v>30422.432599333475</v>
      </c>
      <c r="H17" s="373">
        <f>G17/$G$37</f>
        <v>2.57341171957974E-2</v>
      </c>
    </row>
    <row r="18" spans="1:9" ht="20.100000000000001" customHeight="1">
      <c r="A18" s="368" t="s">
        <v>221</v>
      </c>
      <c r="B18" s="369" t="s">
        <v>384</v>
      </c>
      <c r="C18" s="370">
        <v>14505.08</v>
      </c>
      <c r="D18" s="371">
        <f>C18/'Dias trabalhados'!$C$15</f>
        <v>87.355442245151977</v>
      </c>
      <c r="E18" s="382">
        <v>200</v>
      </c>
      <c r="F18" s="371">
        <f t="shared" ref="F18:F20" si="2">D18*E18</f>
        <v>17471.088449030394</v>
      </c>
      <c r="G18" s="371">
        <f t="shared" ref="G18:G20" si="3">F18*$H$52</f>
        <v>30422.432599333475</v>
      </c>
      <c r="H18" s="373">
        <f>G18/$G$37</f>
        <v>2.57341171957974E-2</v>
      </c>
    </row>
    <row r="19" spans="1:9" ht="20.100000000000001" customHeight="1">
      <c r="A19" s="368" t="s">
        <v>221</v>
      </c>
      <c r="B19" s="369" t="s">
        <v>385</v>
      </c>
      <c r="C19" s="370">
        <v>14505.08</v>
      </c>
      <c r="D19" s="371">
        <f>C19/'Dias trabalhados'!$C$15</f>
        <v>87.355442245151977</v>
      </c>
      <c r="E19" s="382">
        <v>200</v>
      </c>
      <c r="F19" s="371">
        <f t="shared" si="2"/>
        <v>17471.088449030394</v>
      </c>
      <c r="G19" s="371">
        <f t="shared" si="3"/>
        <v>30422.432599333475</v>
      </c>
      <c r="H19" s="373">
        <f>G19/$G$37</f>
        <v>2.57341171957974E-2</v>
      </c>
    </row>
    <row r="20" spans="1:9" ht="20.100000000000001" customHeight="1">
      <c r="A20" s="368" t="s">
        <v>221</v>
      </c>
      <c r="B20" s="369" t="s">
        <v>386</v>
      </c>
      <c r="C20" s="370">
        <v>14505.08</v>
      </c>
      <c r="D20" s="371">
        <f>C20/'Dias trabalhados'!$C$15</f>
        <v>87.355442245151977</v>
      </c>
      <c r="E20" s="382">
        <v>200</v>
      </c>
      <c r="F20" s="371">
        <f t="shared" si="2"/>
        <v>17471.088449030394</v>
      </c>
      <c r="G20" s="371">
        <f t="shared" si="3"/>
        <v>30422.432599333475</v>
      </c>
      <c r="H20" s="373">
        <f>G20/$G$37</f>
        <v>2.57341171957974E-2</v>
      </c>
    </row>
    <row r="21" spans="1:9" ht="6" customHeight="1">
      <c r="A21" s="368"/>
      <c r="B21" s="375"/>
      <c r="C21" s="370"/>
      <c r="D21" s="549"/>
      <c r="E21" s="401"/>
      <c r="F21" s="550"/>
      <c r="G21" s="376"/>
      <c r="H21" s="377"/>
      <c r="I21" s="378"/>
    </row>
    <row r="22" spans="1:9" ht="15" customHeight="1">
      <c r="A22" s="990" t="s">
        <v>285</v>
      </c>
      <c r="B22" s="995" t="s">
        <v>211</v>
      </c>
      <c r="C22" s="996" t="s">
        <v>224</v>
      </c>
      <c r="D22" s="384" t="s">
        <v>170</v>
      </c>
      <c r="E22" s="385" t="s">
        <v>169</v>
      </c>
      <c r="F22" s="384" t="s">
        <v>225</v>
      </c>
      <c r="G22" s="997" t="s">
        <v>226</v>
      </c>
      <c r="H22" s="998" t="s">
        <v>216</v>
      </c>
    </row>
    <row r="23" spans="1:9" ht="15" customHeight="1">
      <c r="A23" s="990"/>
      <c r="B23" s="995"/>
      <c r="C23" s="996"/>
      <c r="D23" s="386" t="s">
        <v>63</v>
      </c>
      <c r="E23" s="386" t="s">
        <v>173</v>
      </c>
      <c r="F23" s="387" t="s">
        <v>173</v>
      </c>
      <c r="G23" s="996"/>
      <c r="H23" s="998"/>
    </row>
    <row r="24" spans="1:9" ht="20.100000000000001" customHeight="1">
      <c r="A24" s="362">
        <v>3</v>
      </c>
      <c r="B24" s="363" t="s">
        <v>393</v>
      </c>
      <c r="C24" s="364"/>
      <c r="D24" s="365"/>
      <c r="E24" s="365"/>
      <c r="F24" s="364"/>
      <c r="G24" s="366">
        <f>G25</f>
        <v>133887.04793002916</v>
      </c>
      <c r="H24" s="367">
        <f>H25</f>
        <v>0.11325409206449194</v>
      </c>
    </row>
    <row r="25" spans="1:9" ht="20.100000000000001" customHeight="1">
      <c r="A25" s="388"/>
      <c r="B25" s="389" t="s">
        <v>618</v>
      </c>
      <c r="C25" s="390"/>
      <c r="D25" s="388"/>
      <c r="E25" s="391"/>
      <c r="F25" s="392"/>
      <c r="G25" s="393">
        <f>G26</f>
        <v>133887.04793002916</v>
      </c>
      <c r="H25" s="394">
        <f>SUM(H26:H26)</f>
        <v>0.11325409206449194</v>
      </c>
    </row>
    <row r="26" spans="1:9" ht="20.100000000000001" customHeight="1">
      <c r="A26" s="368"/>
      <c r="B26" s="369" t="s">
        <v>619</v>
      </c>
      <c r="C26" s="371" t="s">
        <v>380</v>
      </c>
      <c r="D26" s="371">
        <v>1500</v>
      </c>
      <c r="E26" s="371">
        <v>60</v>
      </c>
      <c r="F26" s="371">
        <f t="shared" ref="F26" si="4">D26*E26</f>
        <v>90000</v>
      </c>
      <c r="G26" s="371">
        <f>F26*$H$53</f>
        <v>133887.04793002916</v>
      </c>
      <c r="H26" s="373">
        <f>G26/$G$37</f>
        <v>0.11325409206449194</v>
      </c>
    </row>
    <row r="27" spans="1:9" ht="6" customHeight="1">
      <c r="A27" s="347"/>
      <c r="B27" s="348"/>
      <c r="C27" s="370"/>
      <c r="D27" s="399"/>
      <c r="E27" s="400"/>
      <c r="F27" s="401"/>
      <c r="G27" s="370"/>
      <c r="H27" s="373"/>
    </row>
    <row r="28" spans="1:9" ht="15" customHeight="1">
      <c r="A28" s="990" t="s">
        <v>285</v>
      </c>
      <c r="B28" s="995" t="s">
        <v>211</v>
      </c>
      <c r="C28" s="996" t="s">
        <v>224</v>
      </c>
      <c r="D28" s="384" t="s">
        <v>170</v>
      </c>
      <c r="E28" s="385" t="s">
        <v>169</v>
      </c>
      <c r="F28" s="384" t="s">
        <v>225</v>
      </c>
      <c r="G28" s="997" t="s">
        <v>226</v>
      </c>
      <c r="H28" s="998" t="s">
        <v>216</v>
      </c>
    </row>
    <row r="29" spans="1:9" ht="15" customHeight="1">
      <c r="A29" s="990"/>
      <c r="B29" s="995"/>
      <c r="C29" s="996"/>
      <c r="D29" s="386" t="s">
        <v>63</v>
      </c>
      <c r="E29" s="386" t="s">
        <v>173</v>
      </c>
      <c r="F29" s="387" t="s">
        <v>173</v>
      </c>
      <c r="G29" s="996"/>
      <c r="H29" s="998"/>
    </row>
    <row r="30" spans="1:9" ht="20.100000000000001" customHeight="1">
      <c r="A30" s="362">
        <v>4</v>
      </c>
      <c r="B30" s="363" t="s">
        <v>227</v>
      </c>
      <c r="C30" s="364"/>
      <c r="D30" s="365"/>
      <c r="E30" s="365"/>
      <c r="F30" s="364"/>
      <c r="G30" s="366">
        <f>SUM(G31:G36)</f>
        <v>86956.606936443146</v>
      </c>
      <c r="H30" s="367">
        <f>SUM(H31:H36)</f>
        <v>7.3555969153510217E-2</v>
      </c>
    </row>
    <row r="31" spans="1:9" ht="20.100000000000001" customHeight="1">
      <c r="A31" s="368" t="s">
        <v>221</v>
      </c>
      <c r="B31" s="402" t="s">
        <v>387</v>
      </c>
      <c r="C31" s="403" t="s">
        <v>391</v>
      </c>
      <c r="D31" s="396">
        <v>12</v>
      </c>
      <c r="E31" s="395">
        <v>3561.89</v>
      </c>
      <c r="F31" s="371">
        <f t="shared" ref="F31:F36" si="5">D31*E31</f>
        <v>42742.68</v>
      </c>
      <c r="G31" s="371">
        <f>F31*$H$54</f>
        <v>54212.173490379006</v>
      </c>
      <c r="H31" s="373">
        <f t="shared" ref="H31:H36" si="6">G31/$G$37</f>
        <v>4.5857688121589579E-2</v>
      </c>
    </row>
    <row r="32" spans="1:9" ht="20.100000000000001" customHeight="1">
      <c r="A32" s="368"/>
      <c r="B32" s="404" t="s">
        <v>388</v>
      </c>
      <c r="C32" s="395" t="s">
        <v>284</v>
      </c>
      <c r="D32" s="396">
        <v>60</v>
      </c>
      <c r="E32" s="395">
        <v>5</v>
      </c>
      <c r="F32" s="371">
        <f t="shared" si="5"/>
        <v>300</v>
      </c>
      <c r="G32" s="371">
        <f t="shared" ref="G32:G36" si="7">F32*$H$54</f>
        <v>380.50145772594749</v>
      </c>
      <c r="H32" s="373">
        <f t="shared" si="6"/>
        <v>3.2186344975272663E-4</v>
      </c>
    </row>
    <row r="33" spans="1:8" ht="20.100000000000001" customHeight="1">
      <c r="A33" s="368"/>
      <c r="B33" s="404" t="s">
        <v>389</v>
      </c>
      <c r="C33" s="395" t="s">
        <v>63</v>
      </c>
      <c r="D33" s="396">
        <v>2300</v>
      </c>
      <c r="E33" s="395">
        <v>0.3</v>
      </c>
      <c r="F33" s="371">
        <f t="shared" si="5"/>
        <v>690</v>
      </c>
      <c r="G33" s="371">
        <f t="shared" si="7"/>
        <v>875.15335276967915</v>
      </c>
      <c r="H33" s="373">
        <f t="shared" si="6"/>
        <v>7.4028593443127122E-4</v>
      </c>
    </row>
    <row r="34" spans="1:8" ht="20.100000000000001" customHeight="1">
      <c r="A34" s="368"/>
      <c r="B34" s="404" t="s">
        <v>390</v>
      </c>
      <c r="C34" s="395" t="s">
        <v>63</v>
      </c>
      <c r="D34" s="396">
        <v>12</v>
      </c>
      <c r="E34" s="395">
        <v>18.899999999999999</v>
      </c>
      <c r="F34" s="371">
        <f t="shared" si="5"/>
        <v>226.79999999999998</v>
      </c>
      <c r="G34" s="371">
        <f t="shared" si="7"/>
        <v>287.65910204081626</v>
      </c>
      <c r="H34" s="373">
        <f t="shared" si="6"/>
        <v>2.4332876801306131E-4</v>
      </c>
    </row>
    <row r="35" spans="1:8" ht="20.100000000000001" customHeight="1">
      <c r="A35" s="368"/>
      <c r="B35" s="404" t="s">
        <v>368</v>
      </c>
      <c r="C35" s="395" t="s">
        <v>63</v>
      </c>
      <c r="D35" s="396">
        <v>0</v>
      </c>
      <c r="E35" s="395">
        <v>30</v>
      </c>
      <c r="F35" s="371">
        <f t="shared" si="5"/>
        <v>0</v>
      </c>
      <c r="G35" s="371">
        <f t="shared" si="7"/>
        <v>0</v>
      </c>
      <c r="H35" s="373">
        <f t="shared" si="6"/>
        <v>0</v>
      </c>
    </row>
    <row r="36" spans="1:8" ht="20.100000000000001" customHeight="1">
      <c r="A36" s="368"/>
      <c r="B36" s="404" t="s">
        <v>283</v>
      </c>
      <c r="C36" s="395" t="s">
        <v>392</v>
      </c>
      <c r="D36" s="396">
        <v>120</v>
      </c>
      <c r="E36" s="395">
        <v>205</v>
      </c>
      <c r="F36" s="371">
        <f t="shared" si="5"/>
        <v>24600</v>
      </c>
      <c r="G36" s="371">
        <f t="shared" si="7"/>
        <v>31201.119533527693</v>
      </c>
      <c r="H36" s="373">
        <f t="shared" si="6"/>
        <v>2.6392802879723582E-2</v>
      </c>
    </row>
    <row r="37" spans="1:8" ht="20.100000000000001" customHeight="1">
      <c r="A37" s="405"/>
      <c r="B37" s="405" t="s">
        <v>228</v>
      </c>
      <c r="C37" s="405"/>
      <c r="D37" s="405"/>
      <c r="E37" s="406"/>
      <c r="F37" s="407"/>
      <c r="G37" s="408">
        <f>G7+G16+G24+G30</f>
        <v>1182182.8729489783</v>
      </c>
      <c r="H37" s="409">
        <f>H7+H16+H25+H30</f>
        <v>1</v>
      </c>
    </row>
    <row r="38" spans="1:8" ht="6" customHeight="1">
      <c r="A38" s="410"/>
      <c r="B38" s="410"/>
      <c r="C38" s="410"/>
      <c r="D38" s="410"/>
      <c r="E38" s="410"/>
      <c r="F38" s="410"/>
      <c r="G38" s="410"/>
      <c r="H38" s="410"/>
    </row>
    <row r="39" spans="1:8" ht="20.100000000000001" customHeight="1">
      <c r="A39" s="993" t="s">
        <v>229</v>
      </c>
      <c r="B39" s="993"/>
      <c r="C39" s="411"/>
      <c r="D39" s="411"/>
      <c r="E39" s="411"/>
      <c r="F39" s="411"/>
      <c r="G39" s="411"/>
      <c r="H39" s="411"/>
    </row>
    <row r="40" spans="1:8" ht="3" customHeight="1">
      <c r="A40" s="412"/>
      <c r="B40" s="413"/>
      <c r="C40" s="412"/>
      <c r="D40" s="414"/>
      <c r="E40" s="415"/>
      <c r="F40" s="416"/>
      <c r="G40" s="370"/>
      <c r="H40" s="370"/>
    </row>
    <row r="41" spans="1:8">
      <c r="A41" s="417"/>
      <c r="B41" s="417" t="s">
        <v>230</v>
      </c>
      <c r="C41" s="418"/>
      <c r="D41" s="419"/>
      <c r="E41" s="420"/>
      <c r="F41" s="421"/>
      <c r="G41" s="422"/>
      <c r="H41" s="423">
        <v>0.81789999999999996</v>
      </c>
    </row>
    <row r="42" spans="1:8">
      <c r="A42" s="417"/>
      <c r="B42" s="417" t="s">
        <v>231</v>
      </c>
      <c r="C42" s="418"/>
      <c r="D42" s="419"/>
      <c r="E42" s="420"/>
      <c r="F42" s="421"/>
      <c r="G42" s="422"/>
      <c r="H42" s="423">
        <v>0.2</v>
      </c>
    </row>
    <row r="43" spans="1:8">
      <c r="A43" s="424"/>
      <c r="B43" s="424" t="s">
        <v>232</v>
      </c>
      <c r="C43" s="424"/>
      <c r="D43" s="419"/>
      <c r="E43" s="420"/>
      <c r="F43" s="421"/>
      <c r="G43" s="422"/>
      <c r="H43" s="423">
        <v>0.1729</v>
      </c>
    </row>
    <row r="44" spans="1:8">
      <c r="A44" s="424"/>
      <c r="B44" s="424" t="s">
        <v>233</v>
      </c>
      <c r="C44" s="424"/>
      <c r="D44" s="419"/>
      <c r="E44" s="420"/>
      <c r="F44" s="421"/>
      <c r="G44" s="422"/>
      <c r="H44" s="423">
        <v>8.7599999999999997E-2</v>
      </c>
    </row>
    <row r="45" spans="1:8">
      <c r="A45" s="424"/>
      <c r="B45" s="424" t="s">
        <v>234</v>
      </c>
      <c r="C45" s="424"/>
      <c r="D45" s="419"/>
      <c r="E45" s="420"/>
      <c r="F45" s="421"/>
      <c r="G45" s="422"/>
      <c r="H45" s="423">
        <f>(1/(1-(C47+C48+C49)))-1</f>
        <v>0.16618075801749277</v>
      </c>
    </row>
    <row r="46" spans="1:8">
      <c r="A46" s="425"/>
      <c r="B46" s="425" t="s">
        <v>235</v>
      </c>
      <c r="C46" s="417"/>
      <c r="D46" s="419"/>
      <c r="E46" s="420"/>
      <c r="F46" s="421"/>
      <c r="G46" s="422"/>
      <c r="H46" s="423"/>
    </row>
    <row r="47" spans="1:8">
      <c r="A47" s="417"/>
      <c r="B47" s="417" t="s">
        <v>236</v>
      </c>
      <c r="C47" s="426">
        <v>1.6500000000000001E-2</v>
      </c>
      <c r="D47" s="419"/>
      <c r="E47" s="420"/>
      <c r="F47" s="421"/>
      <c r="G47" s="422"/>
      <c r="H47" s="427"/>
    </row>
    <row r="48" spans="1:8">
      <c r="A48" s="417"/>
      <c r="B48" s="417" t="s">
        <v>237</v>
      </c>
      <c r="C48" s="426">
        <v>7.5999999999999998E-2</v>
      </c>
      <c r="D48" s="419"/>
      <c r="E48" s="420"/>
      <c r="F48" s="421"/>
      <c r="G48" s="422"/>
      <c r="H48" s="427"/>
    </row>
    <row r="49" spans="1:11">
      <c r="A49" s="417"/>
      <c r="B49" s="417" t="s">
        <v>238</v>
      </c>
      <c r="C49" s="426">
        <v>0.05</v>
      </c>
      <c r="D49" s="419"/>
      <c r="E49" s="420"/>
      <c r="F49" s="421"/>
      <c r="G49" s="422"/>
      <c r="H49" s="427"/>
    </row>
    <row r="50" spans="1:11" ht="3" customHeight="1">
      <c r="A50" s="412"/>
      <c r="B50" s="428"/>
      <c r="C50" s="429"/>
      <c r="D50" s="430"/>
      <c r="E50" s="415"/>
      <c r="F50" s="428"/>
      <c r="G50" s="370"/>
      <c r="H50" s="414"/>
    </row>
    <row r="51" spans="1:11">
      <c r="A51" s="431" t="s">
        <v>239</v>
      </c>
      <c r="B51" s="432" t="str">
        <f>B7</f>
        <v>EQUIPE TÉCNICA PERMANENTE</v>
      </c>
      <c r="C51" s="994" t="s">
        <v>240</v>
      </c>
      <c r="D51" s="994"/>
      <c r="E51" s="994"/>
      <c r="F51" s="433"/>
      <c r="G51" s="434"/>
      <c r="H51" s="435">
        <f>(1+H41+H43)*(1+H44)*(1+H45)</f>
        <v>2.5250076734693874</v>
      </c>
    </row>
    <row r="52" spans="1:11">
      <c r="A52" s="431" t="s">
        <v>241</v>
      </c>
      <c r="B52" s="432" t="e">
        <f>#REF!</f>
        <v>#REF!</v>
      </c>
      <c r="C52" s="994" t="s">
        <v>242</v>
      </c>
      <c r="D52" s="994"/>
      <c r="E52" s="994"/>
      <c r="F52" s="433"/>
      <c r="G52" s="436"/>
      <c r="H52" s="437">
        <f>(1+H42+H43)*(1+H44)*(1+H45)</f>
        <v>1.7413015043731779</v>
      </c>
    </row>
    <row r="53" spans="1:11">
      <c r="A53" s="431" t="s">
        <v>243</v>
      </c>
      <c r="B53" s="432" t="str">
        <f>B24</f>
        <v>SERVIÇO DE APOIO TÉCNICO</v>
      </c>
      <c r="C53" s="994" t="s">
        <v>244</v>
      </c>
      <c r="D53" s="994"/>
      <c r="E53" s="994"/>
      <c r="F53" s="433"/>
      <c r="G53" s="436"/>
      <c r="H53" s="437">
        <f>(1+H43)*(1+H44)*(1+H45)</f>
        <v>1.487633865889213</v>
      </c>
    </row>
    <row r="54" spans="1:11">
      <c r="A54" s="431" t="s">
        <v>245</v>
      </c>
      <c r="B54" s="432" t="str">
        <f>B30</f>
        <v>DESPESAS DIRETAS</v>
      </c>
      <c r="C54" s="994" t="s">
        <v>246</v>
      </c>
      <c r="D54" s="994"/>
      <c r="E54" s="994"/>
      <c r="F54" s="433"/>
      <c r="G54" s="436"/>
      <c r="H54" s="437">
        <f>(1+H44)*(1+H45)</f>
        <v>1.2683381924198249</v>
      </c>
    </row>
    <row r="55" spans="1:11" ht="15" customHeight="1">
      <c r="A55" s="346" t="s">
        <v>247</v>
      </c>
    </row>
    <row r="56" spans="1:11" ht="30" customHeight="1">
      <c r="A56" s="349" t="s">
        <v>248</v>
      </c>
      <c r="B56" s="992" t="s">
        <v>249</v>
      </c>
      <c r="C56" s="992"/>
      <c r="D56" s="992"/>
      <c r="E56" s="992"/>
      <c r="F56" s="992"/>
      <c r="G56" s="992"/>
      <c r="H56" s="350"/>
    </row>
    <row r="57" spans="1:11" ht="30" customHeight="1">
      <c r="A57" s="349" t="s">
        <v>250</v>
      </c>
      <c r="B57" s="992" t="s">
        <v>251</v>
      </c>
      <c r="C57" s="992"/>
      <c r="D57" s="992"/>
      <c r="E57" s="992"/>
      <c r="F57" s="992"/>
      <c r="G57" s="992"/>
      <c r="H57" s="350"/>
    </row>
    <row r="58" spans="1:11" ht="14.25" customHeight="1">
      <c r="A58" s="349" t="s">
        <v>252</v>
      </c>
      <c r="B58" s="992" t="s">
        <v>253</v>
      </c>
      <c r="C58" s="992"/>
      <c r="D58" s="992"/>
      <c r="E58" s="992"/>
      <c r="F58" s="992"/>
      <c r="G58" s="992"/>
      <c r="H58" s="350"/>
    </row>
    <row r="59" spans="1:11" ht="9.9499999999999993" customHeight="1">
      <c r="A59" s="351"/>
      <c r="B59" s="351"/>
      <c r="C59" s="351"/>
      <c r="D59" s="351"/>
      <c r="E59" s="351"/>
      <c r="F59" s="351"/>
      <c r="G59" s="351"/>
      <c r="H59" s="351"/>
      <c r="J59" s="438"/>
      <c r="K59" s="438"/>
    </row>
    <row r="62" spans="1:11">
      <c r="D62" s="439"/>
    </row>
    <row r="63" spans="1:11">
      <c r="A63" s="439"/>
      <c r="B63" s="439"/>
      <c r="D63" s="439"/>
    </row>
    <row r="64" spans="1:11">
      <c r="D64" s="352"/>
    </row>
    <row r="65" spans="1:9">
      <c r="D65" s="439"/>
    </row>
    <row r="66" spans="1:9">
      <c r="A66" s="440"/>
      <c r="B66" s="351"/>
      <c r="C66" s="357"/>
      <c r="D66" s="439"/>
      <c r="E66" s="357"/>
      <c r="F66" s="357"/>
      <c r="G66" s="357"/>
      <c r="H66" s="357"/>
      <c r="I66" s="354"/>
    </row>
  </sheetData>
  <mergeCells count="32">
    <mergeCell ref="B57:G57"/>
    <mergeCell ref="B58:G58"/>
    <mergeCell ref="A39:B39"/>
    <mergeCell ref="C51:E51"/>
    <mergeCell ref="C52:E52"/>
    <mergeCell ref="C53:E53"/>
    <mergeCell ref="C54:E54"/>
    <mergeCell ref="B56:G56"/>
    <mergeCell ref="A22:A23"/>
    <mergeCell ref="B22:B23"/>
    <mergeCell ref="C22:C23"/>
    <mergeCell ref="G22:G23"/>
    <mergeCell ref="H22:H23"/>
    <mergeCell ref="A28:A29"/>
    <mergeCell ref="B28:B29"/>
    <mergeCell ref="C28:C29"/>
    <mergeCell ref="G28:G29"/>
    <mergeCell ref="H28:H29"/>
    <mergeCell ref="H14:H15"/>
    <mergeCell ref="A1:H1"/>
    <mergeCell ref="B2:F2"/>
    <mergeCell ref="A5:A6"/>
    <mergeCell ref="B5:B6"/>
    <mergeCell ref="C5:D5"/>
    <mergeCell ref="F5:F6"/>
    <mergeCell ref="G5:G6"/>
    <mergeCell ref="H5:H6"/>
    <mergeCell ref="A14:A15"/>
    <mergeCell ref="B14:B15"/>
    <mergeCell ref="C14:D14"/>
    <mergeCell ref="F14:F15"/>
    <mergeCell ref="G14:G15"/>
  </mergeCells>
  <printOptions horizontalCentered="1"/>
  <pageMargins left="0.51181102362204722" right="0.51181102362204722" top="0.78740157480314965" bottom="0.78740157480314965" header="0.31496062992125984" footer="0.31496062992125984"/>
  <pageSetup paperSize="9" scale="66" fitToHeight="0" orientation="portrait" r:id="rId1"/>
  <headerFooter>
    <oddFooter>&amp;L&amp;F&amp;C&amp;A&amp;R&amp;P/&amp;N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H45"/>
  <sheetViews>
    <sheetView zoomScale="108" workbookViewId="0">
      <selection activeCell="E40" sqref="E40"/>
    </sheetView>
  </sheetViews>
  <sheetFormatPr defaultColWidth="8" defaultRowHeight="12.75"/>
  <cols>
    <col min="1" max="1" width="5.25" style="93" customWidth="1"/>
    <col min="2" max="2" width="35.75" style="12" customWidth="1"/>
    <col min="3" max="3" width="12.25" style="128" bestFit="1" customWidth="1"/>
    <col min="4" max="4" width="10.25" style="128" bestFit="1" customWidth="1"/>
    <col min="5" max="5" width="11.875" style="128" bestFit="1" customWidth="1"/>
    <col min="6" max="6" width="10.5" style="12" bestFit="1" customWidth="1"/>
    <col min="7" max="7" width="50" style="12" hidden="1" customWidth="1"/>
    <col min="8" max="8" width="21.25" style="12" hidden="1" customWidth="1"/>
    <col min="9" max="9" width="8" style="12"/>
    <col min="10" max="10" width="8.75" style="12" bestFit="1" customWidth="1"/>
    <col min="11" max="16384" width="8" style="12"/>
  </cols>
  <sheetData>
    <row r="1" spans="1:8" s="89" customFormat="1" ht="39.950000000000003" customHeight="1">
      <c r="A1" s="1015" t="s">
        <v>165</v>
      </c>
      <c r="B1" s="1015"/>
      <c r="C1" s="1015"/>
      <c r="D1" s="1015"/>
      <c r="E1" s="1015"/>
      <c r="F1" s="1015"/>
    </row>
    <row r="2" spans="1:8">
      <c r="E2" s="344" t="s">
        <v>210</v>
      </c>
      <c r="F2" s="625">
        <v>44146</v>
      </c>
    </row>
    <row r="3" spans="1:8" ht="20.100000000000001" customHeight="1">
      <c r="A3" s="90" t="s">
        <v>166</v>
      </c>
      <c r="B3" s="91" t="s">
        <v>165</v>
      </c>
      <c r="C3" s="1016" t="s">
        <v>167</v>
      </c>
      <c r="D3" s="1016"/>
      <c r="E3" s="92"/>
      <c r="F3" s="92"/>
    </row>
    <row r="4" spans="1:8" ht="15" customHeight="1" thickBot="1">
      <c r="B4" s="94"/>
      <c r="C4" s="1012" t="s">
        <v>168</v>
      </c>
      <c r="D4" s="1012"/>
      <c r="E4" s="1012"/>
      <c r="F4" s="135">
        <f>'Encargos sociais e benefícios'!C74/100</f>
        <v>0.93287220315364805</v>
      </c>
    </row>
    <row r="5" spans="1:8" ht="18" customHeight="1">
      <c r="A5" s="1017" t="s">
        <v>3</v>
      </c>
      <c r="B5" s="1019" t="s">
        <v>4</v>
      </c>
      <c r="C5" s="95" t="s">
        <v>169</v>
      </c>
      <c r="D5" s="95" t="s">
        <v>170</v>
      </c>
      <c r="E5" s="95" t="s">
        <v>171</v>
      </c>
      <c r="F5" s="96" t="s">
        <v>172</v>
      </c>
    </row>
    <row r="6" spans="1:8" ht="18" customHeight="1" thickBot="1">
      <c r="A6" s="1018"/>
      <c r="B6" s="1020"/>
      <c r="C6" s="97" t="s">
        <v>173</v>
      </c>
      <c r="D6" s="97" t="s">
        <v>63</v>
      </c>
      <c r="E6" s="97" t="s">
        <v>173</v>
      </c>
      <c r="F6" s="98" t="s">
        <v>173</v>
      </c>
    </row>
    <row r="7" spans="1:8">
      <c r="B7" s="94"/>
      <c r="C7" s="94"/>
      <c r="D7" s="94"/>
      <c r="E7" s="94"/>
    </row>
    <row r="8" spans="1:8" s="103" customFormat="1" ht="20.100000000000001" customHeight="1">
      <c r="A8" s="99" t="s">
        <v>174</v>
      </c>
      <c r="B8" s="100" t="s">
        <v>175</v>
      </c>
      <c r="C8" s="101"/>
      <c r="D8" s="101"/>
      <c r="E8" s="102">
        <f>E10</f>
        <v>72366.857789878966</v>
      </c>
      <c r="F8" s="102">
        <f>E8*12</f>
        <v>868402.2934785476</v>
      </c>
    </row>
    <row r="9" spans="1:8" ht="20.100000000000001" customHeight="1">
      <c r="A9" s="104"/>
      <c r="B9" s="105"/>
      <c r="C9" s="106"/>
      <c r="D9" s="107"/>
      <c r="E9" s="106"/>
      <c r="F9" s="108"/>
      <c r="H9" s="109"/>
    </row>
    <row r="10" spans="1:8" ht="20.100000000000001" customHeight="1">
      <c r="A10" s="110"/>
      <c r="B10" s="111" t="s">
        <v>176</v>
      </c>
      <c r="C10" s="112"/>
      <c r="D10" s="113"/>
      <c r="E10" s="112">
        <f>E12+E15+E19+E23</f>
        <v>72366.857789878966</v>
      </c>
      <c r="F10" s="112">
        <f>E10*12</f>
        <v>868402.2934785476</v>
      </c>
      <c r="H10" s="109"/>
    </row>
    <row r="11" spans="1:8" ht="5.0999999999999996" customHeight="1">
      <c r="A11" s="104"/>
      <c r="B11" s="114"/>
      <c r="C11" s="114"/>
      <c r="D11" s="115"/>
      <c r="E11" s="108"/>
      <c r="F11" s="108"/>
      <c r="H11" s="109"/>
    </row>
    <row r="12" spans="1:8" ht="20.100000000000001" customHeight="1">
      <c r="A12" s="116">
        <v>1</v>
      </c>
      <c r="B12" s="117" t="s">
        <v>177</v>
      </c>
      <c r="C12" s="112">
        <f>(C13+C14)</f>
        <v>18362.285929959657</v>
      </c>
      <c r="D12" s="118">
        <v>1</v>
      </c>
      <c r="E12" s="112">
        <f>C12*D12</f>
        <v>18362.285929959657</v>
      </c>
      <c r="F12" s="112">
        <f>E12*12</f>
        <v>220347.43115951587</v>
      </c>
      <c r="H12" s="109"/>
    </row>
    <row r="13" spans="1:8" ht="20.100000000000001" customHeight="1">
      <c r="A13" s="104"/>
      <c r="B13" s="119" t="s">
        <v>178</v>
      </c>
      <c r="C13" s="106">
        <v>9500</v>
      </c>
      <c r="D13" s="120"/>
      <c r="E13" s="106"/>
      <c r="F13" s="121"/>
      <c r="G13" s="12" t="s">
        <v>179</v>
      </c>
      <c r="H13" s="109">
        <f>C13*12</f>
        <v>114000</v>
      </c>
    </row>
    <row r="14" spans="1:8" ht="20.100000000000001" customHeight="1">
      <c r="A14" s="104"/>
      <c r="B14" s="119" t="s">
        <v>180</v>
      </c>
      <c r="C14" s="106">
        <f>$F$4*C13</f>
        <v>8862.2859299596566</v>
      </c>
      <c r="D14" s="120"/>
      <c r="E14" s="106"/>
      <c r="F14" s="121"/>
      <c r="G14" s="12" t="s">
        <v>181</v>
      </c>
      <c r="H14" s="109"/>
    </row>
    <row r="15" spans="1:8" ht="19.5" customHeight="1">
      <c r="A15" s="116">
        <v>2</v>
      </c>
      <c r="B15" s="117" t="s">
        <v>182</v>
      </c>
      <c r="C15" s="112">
        <f>C16+C17</f>
        <v>18362.285929959657</v>
      </c>
      <c r="D15" s="118">
        <v>1</v>
      </c>
      <c r="E15" s="112">
        <f>C15*D15</f>
        <v>18362.285929959657</v>
      </c>
      <c r="F15" s="112">
        <f>E15*12</f>
        <v>220347.43115951587</v>
      </c>
      <c r="H15" s="109"/>
    </row>
    <row r="16" spans="1:8" ht="18.75" customHeight="1">
      <c r="A16" s="104"/>
      <c r="B16" s="119" t="s">
        <v>178</v>
      </c>
      <c r="C16" s="106">
        <f>C13</f>
        <v>9500</v>
      </c>
      <c r="D16" s="122"/>
      <c r="E16" s="121"/>
      <c r="F16" s="121"/>
      <c r="H16" s="109"/>
    </row>
    <row r="17" spans="1:8" ht="20.25" customHeight="1">
      <c r="A17" s="104"/>
      <c r="B17" s="119" t="s">
        <v>180</v>
      </c>
      <c r="C17" s="106">
        <f>$F$4*C16</f>
        <v>8862.2859299596566</v>
      </c>
      <c r="D17" s="122"/>
      <c r="E17" s="121"/>
      <c r="F17" s="121"/>
      <c r="H17" s="109"/>
    </row>
    <row r="18" spans="1:8" ht="9.75" customHeight="1">
      <c r="A18" s="104"/>
      <c r="B18" s="119"/>
      <c r="C18" s="106"/>
      <c r="D18" s="122"/>
      <c r="E18" s="121"/>
      <c r="F18" s="121"/>
      <c r="H18" s="109"/>
    </row>
    <row r="19" spans="1:8" ht="20.100000000000001" customHeight="1">
      <c r="A19" s="116">
        <v>3</v>
      </c>
      <c r="B19" s="117" t="s">
        <v>183</v>
      </c>
      <c r="C19" s="112">
        <f>C20+C21</f>
        <v>18362.285929959657</v>
      </c>
      <c r="D19" s="118">
        <v>1</v>
      </c>
      <c r="E19" s="112">
        <f>C19*D19</f>
        <v>18362.285929959657</v>
      </c>
      <c r="F19" s="112">
        <f>E19*12</f>
        <v>220347.43115951587</v>
      </c>
      <c r="H19" s="109"/>
    </row>
    <row r="20" spans="1:8" ht="20.100000000000001" customHeight="1">
      <c r="A20" s="104"/>
      <c r="B20" s="119" t="s">
        <v>178</v>
      </c>
      <c r="C20" s="106">
        <f>C13</f>
        <v>9500</v>
      </c>
      <c r="D20" s="122"/>
      <c r="E20" s="121"/>
      <c r="F20" s="121"/>
      <c r="G20" s="12" t="s">
        <v>179</v>
      </c>
      <c r="H20" s="109">
        <f>C20*12</f>
        <v>114000</v>
      </c>
    </row>
    <row r="21" spans="1:8" ht="20.100000000000001" customHeight="1">
      <c r="A21" s="104"/>
      <c r="B21" s="119" t="s">
        <v>180</v>
      </c>
      <c r="C21" s="106">
        <f>$F$4*C20</f>
        <v>8862.2859299596566</v>
      </c>
      <c r="D21" s="122"/>
      <c r="E21" s="121"/>
      <c r="F21" s="121"/>
      <c r="G21" s="12" t="s">
        <v>181</v>
      </c>
      <c r="H21" s="109"/>
    </row>
    <row r="22" spans="1:8" ht="5.0999999999999996" customHeight="1">
      <c r="A22" s="104"/>
      <c r="B22" s="119"/>
      <c r="C22" s="106"/>
      <c r="D22" s="122"/>
      <c r="E22" s="121"/>
      <c r="F22" s="121"/>
      <c r="H22" s="109"/>
    </row>
    <row r="23" spans="1:8" ht="20.100000000000001" customHeight="1">
      <c r="A23" s="116">
        <v>4</v>
      </c>
      <c r="B23" s="117" t="s">
        <v>184</v>
      </c>
      <c r="C23" s="112">
        <f>SUM(C24:C26)</f>
        <v>1440</v>
      </c>
      <c r="D23" s="118">
        <v>12</v>
      </c>
      <c r="E23" s="112">
        <f>C23*D23</f>
        <v>17280</v>
      </c>
      <c r="F23" s="112">
        <f>E23*12</f>
        <v>207360</v>
      </c>
      <c r="H23" s="109"/>
    </row>
    <row r="24" spans="1:8" ht="20.100000000000001" customHeight="1">
      <c r="A24" s="136"/>
      <c r="B24" s="137" t="s">
        <v>203</v>
      </c>
      <c r="C24" s="138">
        <v>1050</v>
      </c>
      <c r="D24" s="139"/>
      <c r="E24" s="139"/>
      <c r="F24" s="139"/>
      <c r="H24" s="109"/>
    </row>
    <row r="25" spans="1:8" ht="20.100000000000001" customHeight="1">
      <c r="A25" s="140"/>
      <c r="B25" s="137" t="s">
        <v>205</v>
      </c>
      <c r="C25" s="141">
        <v>240</v>
      </c>
      <c r="D25" s="139"/>
      <c r="E25" s="139"/>
      <c r="F25" s="139"/>
      <c r="G25" s="12" t="s">
        <v>185</v>
      </c>
      <c r="H25" s="109"/>
    </row>
    <row r="26" spans="1:8" ht="20.100000000000001" customHeight="1">
      <c r="A26" s="140"/>
      <c r="B26" s="137" t="s">
        <v>207</v>
      </c>
      <c r="C26" s="141">
        <v>150</v>
      </c>
      <c r="D26" s="139"/>
      <c r="E26" s="139"/>
      <c r="F26" s="139"/>
      <c r="G26" s="12" t="s">
        <v>186</v>
      </c>
      <c r="H26" s="109"/>
    </row>
    <row r="27" spans="1:8" ht="5.0999999999999996" customHeight="1">
      <c r="A27" s="145"/>
      <c r="B27" s="146"/>
      <c r="C27" s="147"/>
      <c r="D27" s="148"/>
      <c r="E27" s="147"/>
      <c r="F27" s="149"/>
    </row>
    <row r="28" spans="1:8" s="103" customFormat="1" ht="20.25" customHeight="1">
      <c r="A28" s="123" t="s">
        <v>187</v>
      </c>
      <c r="B28" s="100" t="s">
        <v>188</v>
      </c>
      <c r="C28" s="102">
        <f>C29</f>
        <v>240000</v>
      </c>
      <c r="D28" s="124">
        <v>1</v>
      </c>
      <c r="E28" s="102">
        <f>C28*D28</f>
        <v>240000</v>
      </c>
      <c r="F28" s="102">
        <f>E28</f>
        <v>240000</v>
      </c>
      <c r="G28" s="125">
        <v>349600.08</v>
      </c>
      <c r="H28" s="12" t="s">
        <v>189</v>
      </c>
    </row>
    <row r="29" spans="1:8" ht="101.25" customHeight="1">
      <c r="A29" s="126"/>
      <c r="B29" s="105" t="s">
        <v>254</v>
      </c>
      <c r="C29" s="138">
        <v>240000</v>
      </c>
      <c r="D29" s="142"/>
      <c r="E29" s="138"/>
      <c r="F29" s="138"/>
    </row>
    <row r="30" spans="1:8" ht="5.0999999999999996" customHeight="1">
      <c r="A30" s="145"/>
      <c r="B30" s="146"/>
      <c r="C30" s="147"/>
      <c r="D30" s="148"/>
      <c r="E30" s="147"/>
      <c r="F30" s="149"/>
    </row>
    <row r="31" spans="1:8" ht="18" customHeight="1">
      <c r="A31" s="90"/>
      <c r="B31" s="91"/>
      <c r="C31" s="1016"/>
      <c r="D31" s="1016"/>
      <c r="E31" s="144">
        <v>2021</v>
      </c>
      <c r="F31" s="127">
        <f>F28+F23+F19+F12+F15</f>
        <v>1108402.2934785476</v>
      </c>
    </row>
    <row r="32" spans="1:8" ht="18" customHeight="1">
      <c r="D32" s="143">
        <v>0.04</v>
      </c>
      <c r="E32" s="144">
        <v>2022</v>
      </c>
      <c r="F32" s="127">
        <f>F31*(1+D32)</f>
        <v>1152738.3852176894</v>
      </c>
    </row>
    <row r="33" spans="1:8" ht="18" customHeight="1">
      <c r="D33" s="254">
        <v>0.04</v>
      </c>
      <c r="E33" s="144">
        <v>2023</v>
      </c>
      <c r="F33" s="127">
        <f t="shared" ref="F33:F35" si="0">F32*(1+D33)</f>
        <v>1198847.920626397</v>
      </c>
    </row>
    <row r="34" spans="1:8" ht="18" customHeight="1">
      <c r="D34" s="254">
        <v>0.04</v>
      </c>
      <c r="E34" s="144">
        <v>2024</v>
      </c>
      <c r="F34" s="127">
        <f t="shared" si="0"/>
        <v>1246801.8374514529</v>
      </c>
    </row>
    <row r="35" spans="1:8" ht="18" customHeight="1">
      <c r="D35" s="254">
        <v>0.04</v>
      </c>
      <c r="E35" s="144">
        <v>2025</v>
      </c>
      <c r="F35" s="127">
        <f t="shared" si="0"/>
        <v>1296673.910949511</v>
      </c>
    </row>
    <row r="36" spans="1:8" ht="18" customHeight="1">
      <c r="D36" s="1014" t="s">
        <v>1</v>
      </c>
      <c r="E36" s="1014"/>
      <c r="F36" s="127">
        <f>SUM(F31:F35)</f>
        <v>6003464.3477235977</v>
      </c>
    </row>
    <row r="37" spans="1:8" ht="20.100000000000001" customHeight="1">
      <c r="A37" s="125" t="s">
        <v>204</v>
      </c>
      <c r="D37" s="12"/>
      <c r="E37" s="12"/>
    </row>
    <row r="38" spans="1:8" ht="15" customHeight="1">
      <c r="A38" s="1013" t="s">
        <v>206</v>
      </c>
      <c r="B38" s="1013"/>
      <c r="C38" s="1013"/>
      <c r="D38" s="1013"/>
      <c r="E38" s="1013"/>
      <c r="F38" s="1013"/>
    </row>
    <row r="39" spans="1:8" ht="15" customHeight="1">
      <c r="A39" s="1013" t="s">
        <v>208</v>
      </c>
      <c r="B39" s="1013"/>
      <c r="C39" s="1013"/>
      <c r="D39" s="1013"/>
      <c r="E39" s="1013"/>
      <c r="F39" s="1013"/>
    </row>
    <row r="40" spans="1:8" ht="15" customHeight="1">
      <c r="A40" s="125" t="s">
        <v>202</v>
      </c>
    </row>
    <row r="41" spans="1:8" ht="19.899999999999999" customHeight="1"/>
    <row r="42" spans="1:8" ht="19.899999999999999" customHeight="1"/>
    <row r="43" spans="1:8" ht="19.899999999999999" customHeight="1"/>
    <row r="44" spans="1:8" ht="19.899999999999999" customHeight="1"/>
    <row r="45" spans="1:8" s="93" customFormat="1" ht="19.899999999999999" customHeight="1">
      <c r="B45" s="12"/>
      <c r="C45" s="128"/>
      <c r="D45" s="128"/>
      <c r="E45" s="128"/>
      <c r="F45" s="12"/>
      <c r="G45" s="12"/>
      <c r="H45" s="12"/>
    </row>
  </sheetData>
  <mergeCells count="9">
    <mergeCell ref="C4:E4"/>
    <mergeCell ref="A38:F38"/>
    <mergeCell ref="A39:F39"/>
    <mergeCell ref="D36:E36"/>
    <mergeCell ref="A1:F1"/>
    <mergeCell ref="C3:D3"/>
    <mergeCell ref="A5:A6"/>
    <mergeCell ref="B5:B6"/>
    <mergeCell ref="C31:D31"/>
  </mergeCells>
  <printOptions horizontalCentered="1"/>
  <pageMargins left="0.51181102362204722" right="0.51181102362204722" top="0.78740157480314965" bottom="0.78740157480314965" header="0.31496062992125984" footer="0.31496062992125984"/>
  <pageSetup paperSize="9" scale="95" fitToWidth="0" orientation="portrait" r:id="rId1"/>
  <headerFooter>
    <oddFooter>&amp;L&amp;F&amp;C&amp;A&amp;R&amp;P/&amp;N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K66"/>
  <sheetViews>
    <sheetView topLeftCell="A31" workbookViewId="0">
      <selection activeCell="E40" sqref="E40"/>
    </sheetView>
  </sheetViews>
  <sheetFormatPr defaultRowHeight="12.75"/>
  <cols>
    <col min="1" max="1" width="9" style="353"/>
    <col min="2" max="2" width="49.875" style="353" bestFit="1" customWidth="1"/>
    <col min="3" max="3" width="10.5" style="353" bestFit="1" customWidth="1"/>
    <col min="4" max="4" width="10.625" style="353" customWidth="1"/>
    <col min="5" max="5" width="12.625" style="353" customWidth="1"/>
    <col min="6" max="6" width="11.125" style="353" customWidth="1"/>
    <col min="7" max="7" width="12.25" style="353" bestFit="1" customWidth="1"/>
    <col min="8" max="8" width="9.875" style="353" bestFit="1" customWidth="1"/>
    <col min="9" max="12" width="11.125" style="353" customWidth="1"/>
    <col min="13" max="16384" width="9" style="353"/>
  </cols>
  <sheetData>
    <row r="1" spans="1:10" s="343" customFormat="1" ht="39.950000000000003" customHeight="1">
      <c r="A1" s="988" t="s">
        <v>395</v>
      </c>
      <c r="B1" s="988"/>
      <c r="C1" s="988"/>
      <c r="D1" s="988"/>
      <c r="E1" s="988"/>
      <c r="F1" s="988"/>
      <c r="G1" s="988"/>
      <c r="H1" s="988"/>
    </row>
    <row r="2" spans="1:10" ht="20.100000000000001" customHeight="1">
      <c r="A2" s="352"/>
      <c r="B2" s="989"/>
      <c r="C2" s="989"/>
      <c r="D2" s="989"/>
      <c r="E2" s="989"/>
      <c r="F2" s="989"/>
      <c r="G2" s="344"/>
      <c r="H2" s="345"/>
    </row>
    <row r="3" spans="1:10" ht="15.6" customHeight="1">
      <c r="A3" s="346"/>
      <c r="B3" s="354"/>
      <c r="C3" s="355"/>
      <c r="D3" s="355"/>
      <c r="E3" s="355"/>
      <c r="G3" s="344" t="s">
        <v>210</v>
      </c>
      <c r="H3" s="625">
        <v>44146</v>
      </c>
    </row>
    <row r="4" spans="1:10" ht="9.9499999999999993" customHeight="1">
      <c r="F4" s="356"/>
      <c r="G4" s="357"/>
    </row>
    <row r="5" spans="1:10" ht="15" customHeight="1">
      <c r="A5" s="990" t="s">
        <v>285</v>
      </c>
      <c r="B5" s="991" t="s">
        <v>211</v>
      </c>
      <c r="C5" s="1001" t="s">
        <v>212</v>
      </c>
      <c r="D5" s="1002"/>
      <c r="E5" s="358" t="s">
        <v>213</v>
      </c>
      <c r="F5" s="1003" t="s">
        <v>214</v>
      </c>
      <c r="G5" s="1003" t="s">
        <v>215</v>
      </c>
      <c r="H5" s="1005" t="s">
        <v>216</v>
      </c>
    </row>
    <row r="6" spans="1:10" ht="15" customHeight="1">
      <c r="A6" s="990"/>
      <c r="B6" s="991"/>
      <c r="C6" s="359" t="s">
        <v>217</v>
      </c>
      <c r="D6" s="360" t="s">
        <v>218</v>
      </c>
      <c r="E6" s="361" t="s">
        <v>219</v>
      </c>
      <c r="F6" s="1003"/>
      <c r="G6" s="1004"/>
      <c r="H6" s="1005"/>
    </row>
    <row r="7" spans="1:10" ht="20.100000000000001" customHeight="1">
      <c r="A7" s="362">
        <v>1</v>
      </c>
      <c r="B7" s="363" t="s">
        <v>220</v>
      </c>
      <c r="C7" s="364"/>
      <c r="D7" s="365"/>
      <c r="E7" s="365"/>
      <c r="F7" s="364"/>
      <c r="G7" s="366">
        <f>SUM(G8:G15)</f>
        <v>810886.15985129704</v>
      </c>
      <c r="H7" s="367">
        <f>SUM(H8:H15)</f>
        <v>0.88513251476049282</v>
      </c>
    </row>
    <row r="8" spans="1:10" ht="20.100000000000001" customHeight="1">
      <c r="A8" s="368" t="s">
        <v>221</v>
      </c>
      <c r="B8" s="369" t="s">
        <v>396</v>
      </c>
      <c r="C8" s="370">
        <v>11793.19</v>
      </c>
      <c r="D8" s="371">
        <f>C8/'Dias trabalhados'!$C$15</f>
        <v>71.023346850283062</v>
      </c>
      <c r="E8" s="382">
        <v>400</v>
      </c>
      <c r="F8" s="371">
        <f>D8*E8</f>
        <v>28409.338740113224</v>
      </c>
      <c r="G8" s="371">
        <f t="shared" ref="G8:G15" si="0">F8*$H$51</f>
        <v>71733.79831697703</v>
      </c>
      <c r="H8" s="373">
        <f t="shared" ref="H8:H15" si="1">G8/$G$37</f>
        <v>7.8301888034778652E-2</v>
      </c>
    </row>
    <row r="9" spans="1:10" ht="20.100000000000001" customHeight="1">
      <c r="A9" s="368" t="s">
        <v>221</v>
      </c>
      <c r="B9" s="369" t="s">
        <v>397</v>
      </c>
      <c r="C9" s="370">
        <v>7702.47</v>
      </c>
      <c r="D9" s="371">
        <f>C9/'Dias trabalhados'!$C$15</f>
        <v>46.387381057534029</v>
      </c>
      <c r="E9" s="382">
        <v>1600</v>
      </c>
      <c r="F9" s="371">
        <f>D9*E9</f>
        <v>74219.809692054449</v>
      </c>
      <c r="G9" s="371">
        <f t="shared" si="0"/>
        <v>187405.58899587509</v>
      </c>
      <c r="H9" s="373">
        <f t="shared" si="1"/>
        <v>0.20456481868985119</v>
      </c>
      <c r="J9" s="374"/>
    </row>
    <row r="10" spans="1:10" ht="20.100000000000001" customHeight="1">
      <c r="A10" s="368" t="s">
        <v>221</v>
      </c>
      <c r="B10" s="369" t="s">
        <v>634</v>
      </c>
      <c r="C10" s="370">
        <v>7702.47</v>
      </c>
      <c r="D10" s="371">
        <f>C10/'Dias trabalhados'!$C$15</f>
        <v>46.387381057534029</v>
      </c>
      <c r="E10" s="382">
        <v>2880</v>
      </c>
      <c r="F10" s="371">
        <f>D10*E10</f>
        <v>133595.65744569802</v>
      </c>
      <c r="G10" s="371">
        <f t="shared" si="0"/>
        <v>337330.06019257521</v>
      </c>
      <c r="H10" s="373">
        <f t="shared" si="1"/>
        <v>0.36821667364173216</v>
      </c>
    </row>
    <row r="11" spans="1:10" ht="20.100000000000001" customHeight="1">
      <c r="A11" s="368" t="s">
        <v>221</v>
      </c>
      <c r="B11" s="369" t="s">
        <v>398</v>
      </c>
      <c r="C11" s="370">
        <v>4003.96</v>
      </c>
      <c r="D11" s="371">
        <f>C11/'Dias trabalhados'!$C$15</f>
        <v>24.113462078933637</v>
      </c>
      <c r="E11" s="382">
        <v>1280</v>
      </c>
      <c r="F11" s="371">
        <f t="shared" ref="F11:F13" si="2">D11*E11</f>
        <v>30865.231461035055</v>
      </c>
      <c r="G11" s="371">
        <f t="shared" si="0"/>
        <v>77934.946282522258</v>
      </c>
      <c r="H11" s="373">
        <f t="shared" si="1"/>
        <v>8.5070825482362569E-2</v>
      </c>
    </row>
    <row r="12" spans="1:10" ht="20.100000000000001" customHeight="1">
      <c r="A12" s="368" t="s">
        <v>221</v>
      </c>
      <c r="B12" s="369" t="s">
        <v>399</v>
      </c>
      <c r="C12" s="370">
        <v>4003.96</v>
      </c>
      <c r="D12" s="371">
        <f>C12/'Dias trabalhados'!$C$15</f>
        <v>24.113462078933637</v>
      </c>
      <c r="E12" s="382">
        <v>740</v>
      </c>
      <c r="F12" s="371">
        <f t="shared" si="2"/>
        <v>17843.961938410892</v>
      </c>
      <c r="G12" s="371">
        <f t="shared" si="0"/>
        <v>45056.140819583183</v>
      </c>
      <c r="H12" s="373">
        <f t="shared" si="1"/>
        <v>4.9181570981990864E-2</v>
      </c>
    </row>
    <row r="13" spans="1:10" ht="20.100000000000001" customHeight="1">
      <c r="A13" s="368" t="s">
        <v>221</v>
      </c>
      <c r="B13" s="369" t="s">
        <v>400</v>
      </c>
      <c r="C13" s="370">
        <v>4003.96</v>
      </c>
      <c r="D13" s="371">
        <f>C13/'Dias trabalhados'!$C$15</f>
        <v>24.113462078933637</v>
      </c>
      <c r="E13" s="382">
        <v>480</v>
      </c>
      <c r="F13" s="371">
        <f t="shared" si="2"/>
        <v>11574.461797888145</v>
      </c>
      <c r="G13" s="371">
        <f t="shared" si="0"/>
        <v>29225.604855945847</v>
      </c>
      <c r="H13" s="373">
        <f t="shared" si="1"/>
        <v>3.1901559555885965E-2</v>
      </c>
    </row>
    <row r="14" spans="1:10" ht="20.100000000000001" customHeight="1">
      <c r="A14" s="368" t="s">
        <v>221</v>
      </c>
      <c r="B14" s="369" t="s">
        <v>401</v>
      </c>
      <c r="C14" s="370">
        <v>2822.09</v>
      </c>
      <c r="D14" s="371">
        <f>C14/'Dias trabalhados'!$C$15</f>
        <v>16.995764242983903</v>
      </c>
      <c r="E14" s="382">
        <v>740</v>
      </c>
      <c r="F14" s="371">
        <f>D14*E14</f>
        <v>12576.865539808088</v>
      </c>
      <c r="G14" s="371">
        <f t="shared" si="0"/>
        <v>31756.681996208132</v>
      </c>
      <c r="H14" s="373">
        <f t="shared" si="1"/>
        <v>3.4664387169843505E-2</v>
      </c>
    </row>
    <row r="15" spans="1:10" ht="20.100000000000001" customHeight="1">
      <c r="A15" s="368" t="s">
        <v>221</v>
      </c>
      <c r="B15" s="369" t="s">
        <v>402</v>
      </c>
      <c r="C15" s="370">
        <v>4003.96</v>
      </c>
      <c r="D15" s="371">
        <f>C15/'Dias trabalhados'!$C$15</f>
        <v>24.113462078933637</v>
      </c>
      <c r="E15" s="382">
        <v>500</v>
      </c>
      <c r="F15" s="371">
        <f>D15*E15</f>
        <v>12056.731039466818</v>
      </c>
      <c r="G15" s="371">
        <f t="shared" si="0"/>
        <v>30443.338391610261</v>
      </c>
      <c r="H15" s="373">
        <f t="shared" si="1"/>
        <v>3.3230791204047885E-2</v>
      </c>
    </row>
    <row r="16" spans="1:10" ht="6" customHeight="1">
      <c r="A16" s="368"/>
      <c r="B16" s="375"/>
      <c r="C16" s="370"/>
      <c r="D16" s="368"/>
      <c r="E16" s="370"/>
      <c r="F16" s="371"/>
      <c r="G16" s="376"/>
      <c r="H16" s="377"/>
      <c r="I16" s="378"/>
    </row>
    <row r="17" spans="1:8" ht="15" customHeight="1">
      <c r="A17" s="1006" t="s">
        <v>285</v>
      </c>
      <c r="B17" s="1008" t="s">
        <v>211</v>
      </c>
      <c r="C17" s="998" t="s">
        <v>212</v>
      </c>
      <c r="D17" s="1004"/>
      <c r="E17" s="379" t="s">
        <v>213</v>
      </c>
      <c r="F17" s="1010" t="s">
        <v>214</v>
      </c>
      <c r="G17" s="1010" t="s">
        <v>222</v>
      </c>
      <c r="H17" s="999" t="s">
        <v>216</v>
      </c>
    </row>
    <row r="18" spans="1:8" ht="15" customHeight="1">
      <c r="A18" s="1007"/>
      <c r="B18" s="1009"/>
      <c r="C18" s="379" t="s">
        <v>217</v>
      </c>
      <c r="D18" s="380" t="s">
        <v>218</v>
      </c>
      <c r="E18" s="379" t="s">
        <v>219</v>
      </c>
      <c r="F18" s="1011"/>
      <c r="G18" s="1011"/>
      <c r="H18" s="1000"/>
    </row>
    <row r="19" spans="1:8" ht="20.100000000000001" customHeight="1">
      <c r="A19" s="362">
        <v>2</v>
      </c>
      <c r="B19" s="363" t="s">
        <v>223</v>
      </c>
      <c r="C19" s="364"/>
      <c r="D19" s="365"/>
      <c r="E19" s="365"/>
      <c r="F19" s="364"/>
      <c r="G19" s="366">
        <f>SUM(G20:G20)</f>
        <v>8389.4559973012147</v>
      </c>
      <c r="H19" s="367">
        <f>SUM(H20:H20)</f>
        <v>9.1576113294688441E-3</v>
      </c>
    </row>
    <row r="20" spans="1:8" ht="20.100000000000001" customHeight="1">
      <c r="A20" s="368" t="s">
        <v>221</v>
      </c>
      <c r="B20" s="369" t="s">
        <v>403</v>
      </c>
      <c r="C20" s="370">
        <v>4000</v>
      </c>
      <c r="D20" s="371">
        <f>C20/'Dias trabalhados'!$C$15</f>
        <v>24.089613361705545</v>
      </c>
      <c r="E20" s="382">
        <v>200</v>
      </c>
      <c r="F20" s="371">
        <f>D20*E20</f>
        <v>4817.9226723411093</v>
      </c>
      <c r="G20" s="371">
        <f>F20*$H$52</f>
        <v>8389.4559973012147</v>
      </c>
      <c r="H20" s="373">
        <f>G20/$G$37</f>
        <v>9.1576113294688441E-3</v>
      </c>
    </row>
    <row r="21" spans="1:8" ht="6" customHeight="1">
      <c r="A21" s="347"/>
      <c r="B21" s="348"/>
      <c r="C21" s="370"/>
      <c r="D21" s="383"/>
      <c r="E21" s="382"/>
      <c r="F21" s="370"/>
      <c r="G21" s="370"/>
      <c r="H21" s="373"/>
    </row>
    <row r="22" spans="1:8" ht="15" customHeight="1">
      <c r="A22" s="1021" t="s">
        <v>285</v>
      </c>
      <c r="B22" s="1023" t="s">
        <v>211</v>
      </c>
      <c r="C22" s="1025" t="s">
        <v>224</v>
      </c>
      <c r="D22" s="384" t="s">
        <v>170</v>
      </c>
      <c r="E22" s="385" t="s">
        <v>169</v>
      </c>
      <c r="F22" s="384" t="s">
        <v>225</v>
      </c>
      <c r="G22" s="1010" t="s">
        <v>226</v>
      </c>
      <c r="H22" s="999" t="s">
        <v>216</v>
      </c>
    </row>
    <row r="23" spans="1:8" ht="15" customHeight="1">
      <c r="A23" s="1022"/>
      <c r="B23" s="1024"/>
      <c r="C23" s="1026"/>
      <c r="D23" s="386" t="s">
        <v>63</v>
      </c>
      <c r="E23" s="386" t="s">
        <v>173</v>
      </c>
      <c r="F23" s="387" t="s">
        <v>173</v>
      </c>
      <c r="G23" s="1011"/>
      <c r="H23" s="1000"/>
    </row>
    <row r="24" spans="1:8" ht="20.100000000000001" customHeight="1">
      <c r="A24" s="362">
        <v>3</v>
      </c>
      <c r="B24" s="363" t="s">
        <v>393</v>
      </c>
      <c r="C24" s="364"/>
      <c r="D24" s="365"/>
      <c r="E24" s="365"/>
      <c r="F24" s="364"/>
      <c r="G24" s="366">
        <f>G25</f>
        <v>55786.269970845489</v>
      </c>
      <c r="H24" s="367">
        <f>H25</f>
        <v>6.0894172170181539E-2</v>
      </c>
    </row>
    <row r="25" spans="1:8" ht="20.100000000000001" customHeight="1">
      <c r="A25" s="368"/>
      <c r="B25" s="369" t="s">
        <v>404</v>
      </c>
      <c r="C25" s="371" t="s">
        <v>51</v>
      </c>
      <c r="D25" s="371">
        <v>15</v>
      </c>
      <c r="E25" s="371">
        <v>2500</v>
      </c>
      <c r="F25" s="371">
        <f t="shared" ref="F25" si="3">D25*E25</f>
        <v>37500</v>
      </c>
      <c r="G25" s="371">
        <f>F25*$H$53</f>
        <v>55786.269970845489</v>
      </c>
      <c r="H25" s="373">
        <f>G25/$G$37</f>
        <v>6.0894172170181539E-2</v>
      </c>
    </row>
    <row r="26" spans="1:8" ht="6" customHeight="1">
      <c r="A26" s="347"/>
      <c r="B26" s="348"/>
      <c r="C26" s="370"/>
      <c r="D26" s="399"/>
      <c r="E26" s="400"/>
      <c r="F26" s="401"/>
      <c r="G26" s="370"/>
      <c r="H26" s="373"/>
    </row>
    <row r="27" spans="1:8" ht="15" customHeight="1">
      <c r="A27" s="990" t="s">
        <v>285</v>
      </c>
      <c r="B27" s="995" t="s">
        <v>211</v>
      </c>
      <c r="C27" s="996" t="s">
        <v>224</v>
      </c>
      <c r="D27" s="384" t="s">
        <v>170</v>
      </c>
      <c r="E27" s="385" t="s">
        <v>169</v>
      </c>
      <c r="F27" s="384" t="s">
        <v>225</v>
      </c>
      <c r="G27" s="997" t="s">
        <v>226</v>
      </c>
      <c r="H27" s="998" t="s">
        <v>216</v>
      </c>
    </row>
    <row r="28" spans="1:8" ht="15" customHeight="1">
      <c r="A28" s="990"/>
      <c r="B28" s="995"/>
      <c r="C28" s="996"/>
      <c r="D28" s="386" t="s">
        <v>63</v>
      </c>
      <c r="E28" s="386" t="s">
        <v>173</v>
      </c>
      <c r="F28" s="387" t="s">
        <v>173</v>
      </c>
      <c r="G28" s="996"/>
      <c r="H28" s="998"/>
    </row>
    <row r="29" spans="1:8" ht="20.100000000000001" customHeight="1">
      <c r="A29" s="362">
        <v>4</v>
      </c>
      <c r="B29" s="363" t="s">
        <v>227</v>
      </c>
      <c r="C29" s="364"/>
      <c r="D29" s="365"/>
      <c r="E29" s="365"/>
      <c r="F29" s="364"/>
      <c r="G29" s="366">
        <f>SUM(G30:G36)</f>
        <v>41056.487790087456</v>
      </c>
      <c r="H29" s="367">
        <f>SUM(H30:H36)</f>
        <v>4.4815701739856814E-2</v>
      </c>
    </row>
    <row r="30" spans="1:8" ht="20.100000000000001" customHeight="1">
      <c r="A30" s="368"/>
      <c r="B30" s="402" t="s">
        <v>387</v>
      </c>
      <c r="C30" s="403" t="s">
        <v>406</v>
      </c>
      <c r="D30" s="396">
        <v>7</v>
      </c>
      <c r="E30" s="395">
        <v>2364</v>
      </c>
      <c r="F30" s="371">
        <f t="shared" ref="F30:F36" si="4">D30*E30</f>
        <v>16548</v>
      </c>
      <c r="G30" s="371">
        <f>F30*$H$54</f>
        <v>20988.460408163264</v>
      </c>
      <c r="H30" s="373">
        <f t="shared" ref="H30:H36" si="5">G30/$G$37</f>
        <v>2.2910205725345471E-2</v>
      </c>
    </row>
    <row r="31" spans="1:8" ht="20.100000000000001" customHeight="1">
      <c r="A31" s="368"/>
      <c r="B31" s="404" t="s">
        <v>405</v>
      </c>
      <c r="C31" s="395" t="s">
        <v>63</v>
      </c>
      <c r="D31" s="396">
        <v>1130</v>
      </c>
      <c r="E31" s="395">
        <v>2</v>
      </c>
      <c r="F31" s="371">
        <f t="shared" si="4"/>
        <v>2260</v>
      </c>
      <c r="G31" s="371">
        <f t="shared" ref="G31:G36" si="6">F31*$H$54</f>
        <v>2866.4443148688042</v>
      </c>
      <c r="H31" s="373">
        <f t="shared" si="5"/>
        <v>3.1289016762920453E-3</v>
      </c>
    </row>
    <row r="32" spans="1:8" ht="20.100000000000001" customHeight="1">
      <c r="A32" s="368"/>
      <c r="B32" s="404" t="s">
        <v>389</v>
      </c>
      <c r="C32" s="395" t="s">
        <v>63</v>
      </c>
      <c r="D32" s="396">
        <v>2300</v>
      </c>
      <c r="E32" s="395">
        <v>0.3</v>
      </c>
      <c r="F32" s="371">
        <f t="shared" si="4"/>
        <v>690</v>
      </c>
      <c r="G32" s="371">
        <f t="shared" si="6"/>
        <v>875.15335276967915</v>
      </c>
      <c r="H32" s="373">
        <f t="shared" si="5"/>
        <v>9.5528414010686332E-4</v>
      </c>
    </row>
    <row r="33" spans="1:8" ht="20.100000000000001" customHeight="1">
      <c r="A33" s="368"/>
      <c r="B33" s="404" t="s">
        <v>390</v>
      </c>
      <c r="C33" s="395" t="s">
        <v>63</v>
      </c>
      <c r="D33" s="396">
        <v>12</v>
      </c>
      <c r="E33" s="395">
        <v>18.899999999999999</v>
      </c>
      <c r="F33" s="371">
        <f t="shared" si="4"/>
        <v>226.79999999999998</v>
      </c>
      <c r="G33" s="371">
        <f t="shared" si="6"/>
        <v>287.65910204081626</v>
      </c>
      <c r="H33" s="373">
        <f t="shared" si="5"/>
        <v>3.1399774344382115E-4</v>
      </c>
    </row>
    <row r="34" spans="1:8" ht="20.100000000000001" customHeight="1">
      <c r="A34" s="368"/>
      <c r="B34" s="404" t="s">
        <v>407</v>
      </c>
      <c r="C34" s="395" t="s">
        <v>63</v>
      </c>
      <c r="D34" s="396">
        <v>45</v>
      </c>
      <c r="E34" s="395">
        <v>19.899999999999999</v>
      </c>
      <c r="F34" s="371">
        <f t="shared" ref="F34" si="7">D34*E34</f>
        <v>895.49999999999989</v>
      </c>
      <c r="G34" s="371">
        <f t="shared" si="6"/>
        <v>1135.7968513119531</v>
      </c>
      <c r="H34" s="373">
        <f t="shared" si="5"/>
        <v>1.2397926774865161E-3</v>
      </c>
    </row>
    <row r="35" spans="1:8" ht="20.100000000000001" customHeight="1">
      <c r="A35" s="368"/>
      <c r="B35" s="404" t="s">
        <v>408</v>
      </c>
      <c r="C35" s="395" t="s">
        <v>63</v>
      </c>
      <c r="D35" s="396">
        <f>5*10</f>
        <v>50</v>
      </c>
      <c r="E35" s="395">
        <v>30</v>
      </c>
      <c r="F35" s="371">
        <f t="shared" si="4"/>
        <v>1500</v>
      </c>
      <c r="G35" s="371">
        <f t="shared" si="6"/>
        <v>1902.5072886297373</v>
      </c>
      <c r="H35" s="373">
        <f t="shared" si="5"/>
        <v>2.0767046524062245E-3</v>
      </c>
    </row>
    <row r="36" spans="1:8" ht="20.100000000000001" customHeight="1">
      <c r="A36" s="368"/>
      <c r="B36" s="404" t="s">
        <v>283</v>
      </c>
      <c r="C36" s="395" t="s">
        <v>392</v>
      </c>
      <c r="D36" s="396">
        <v>50</v>
      </c>
      <c r="E36" s="395">
        <v>205</v>
      </c>
      <c r="F36" s="371">
        <f t="shared" si="4"/>
        <v>10250</v>
      </c>
      <c r="G36" s="371">
        <f t="shared" si="6"/>
        <v>13000.466472303206</v>
      </c>
      <c r="H36" s="373">
        <f t="shared" si="5"/>
        <v>1.4190815124775869E-2</v>
      </c>
    </row>
    <row r="37" spans="1:8" ht="20.100000000000001" customHeight="1">
      <c r="A37" s="405"/>
      <c r="B37" s="405" t="s">
        <v>228</v>
      </c>
      <c r="C37" s="405"/>
      <c r="D37" s="405"/>
      <c r="E37" s="406"/>
      <c r="F37" s="407"/>
      <c r="G37" s="408">
        <f>G7+G19+G24+G29</f>
        <v>916118.37360953121</v>
      </c>
      <c r="H37" s="409">
        <f>H7+H19+H24+H29</f>
        <v>1</v>
      </c>
    </row>
    <row r="38" spans="1:8" ht="6" customHeight="1">
      <c r="A38" s="410"/>
      <c r="B38" s="410"/>
      <c r="C38" s="410"/>
      <c r="D38" s="410"/>
      <c r="E38" s="410"/>
      <c r="F38" s="410"/>
      <c r="G38" s="410"/>
      <c r="H38" s="410"/>
    </row>
    <row r="39" spans="1:8" ht="20.100000000000001" customHeight="1">
      <c r="A39" s="993" t="s">
        <v>229</v>
      </c>
      <c r="B39" s="993"/>
      <c r="C39" s="411"/>
      <c r="D39" s="411"/>
      <c r="E39" s="411"/>
      <c r="F39" s="411"/>
      <c r="G39" s="411"/>
      <c r="H39" s="411"/>
    </row>
    <row r="40" spans="1:8" ht="3" customHeight="1">
      <c r="A40" s="412"/>
      <c r="B40" s="413"/>
      <c r="C40" s="412"/>
      <c r="D40" s="414"/>
      <c r="E40" s="415"/>
      <c r="F40" s="416"/>
      <c r="G40" s="370"/>
      <c r="H40" s="370"/>
    </row>
    <row r="41" spans="1:8">
      <c r="A41" s="417"/>
      <c r="B41" s="417" t="s">
        <v>230</v>
      </c>
      <c r="C41" s="418"/>
      <c r="D41" s="419"/>
      <c r="E41" s="420"/>
      <c r="F41" s="421"/>
      <c r="G41" s="422"/>
      <c r="H41" s="423">
        <v>0.81789999999999996</v>
      </c>
    </row>
    <row r="42" spans="1:8">
      <c r="A42" s="417"/>
      <c r="B42" s="417" t="s">
        <v>231</v>
      </c>
      <c r="C42" s="418"/>
      <c r="D42" s="419"/>
      <c r="E42" s="420"/>
      <c r="F42" s="421"/>
      <c r="G42" s="422"/>
      <c r="H42" s="423">
        <v>0.2</v>
      </c>
    </row>
    <row r="43" spans="1:8">
      <c r="A43" s="424"/>
      <c r="B43" s="424" t="s">
        <v>232</v>
      </c>
      <c r="C43" s="424"/>
      <c r="D43" s="419"/>
      <c r="E43" s="420"/>
      <c r="F43" s="421"/>
      <c r="G43" s="422"/>
      <c r="H43" s="423">
        <v>0.1729</v>
      </c>
    </row>
    <row r="44" spans="1:8">
      <c r="A44" s="424"/>
      <c r="B44" s="424" t="s">
        <v>233</v>
      </c>
      <c r="C44" s="424"/>
      <c r="D44" s="419"/>
      <c r="E44" s="420"/>
      <c r="F44" s="421"/>
      <c r="G44" s="422"/>
      <c r="H44" s="423">
        <v>8.7599999999999997E-2</v>
      </c>
    </row>
    <row r="45" spans="1:8">
      <c r="A45" s="424"/>
      <c r="B45" s="424" t="s">
        <v>234</v>
      </c>
      <c r="C45" s="424"/>
      <c r="D45" s="419"/>
      <c r="E45" s="420"/>
      <c r="F45" s="421"/>
      <c r="G45" s="422"/>
      <c r="H45" s="423">
        <f>(1/(1-(C47+C48+C49)))-1</f>
        <v>0.16618075801749277</v>
      </c>
    </row>
    <row r="46" spans="1:8">
      <c r="A46" s="425"/>
      <c r="B46" s="425" t="s">
        <v>235</v>
      </c>
      <c r="C46" s="417"/>
      <c r="D46" s="419"/>
      <c r="E46" s="420"/>
      <c r="F46" s="421"/>
      <c r="G46" s="422"/>
      <c r="H46" s="423"/>
    </row>
    <row r="47" spans="1:8">
      <c r="A47" s="417"/>
      <c r="B47" s="417" t="s">
        <v>236</v>
      </c>
      <c r="C47" s="426">
        <v>1.6500000000000001E-2</v>
      </c>
      <c r="D47" s="419"/>
      <c r="E47" s="420"/>
      <c r="F47" s="421"/>
      <c r="G47" s="422"/>
      <c r="H47" s="427"/>
    </row>
    <row r="48" spans="1:8">
      <c r="A48" s="417"/>
      <c r="B48" s="417" t="s">
        <v>237</v>
      </c>
      <c r="C48" s="426">
        <v>7.5999999999999998E-2</v>
      </c>
      <c r="D48" s="419"/>
      <c r="E48" s="420"/>
      <c r="F48" s="421"/>
      <c r="G48" s="422"/>
      <c r="H48" s="427"/>
    </row>
    <row r="49" spans="1:11">
      <c r="A49" s="417"/>
      <c r="B49" s="417" t="s">
        <v>238</v>
      </c>
      <c r="C49" s="426">
        <v>0.05</v>
      </c>
      <c r="D49" s="419"/>
      <c r="E49" s="420"/>
      <c r="F49" s="421"/>
      <c r="G49" s="422"/>
      <c r="H49" s="427"/>
    </row>
    <row r="50" spans="1:11" ht="3" customHeight="1">
      <c r="A50" s="412"/>
      <c r="B50" s="428"/>
      <c r="C50" s="429"/>
      <c r="D50" s="430"/>
      <c r="E50" s="415"/>
      <c r="F50" s="428"/>
      <c r="G50" s="370"/>
      <c r="H50" s="414"/>
    </row>
    <row r="51" spans="1:11">
      <c r="A51" s="431" t="s">
        <v>239</v>
      </c>
      <c r="B51" s="432" t="str">
        <f>B7</f>
        <v>EQUIPE TÉCNICA PERMANENTE</v>
      </c>
      <c r="C51" s="994" t="s">
        <v>240</v>
      </c>
      <c r="D51" s="994"/>
      <c r="E51" s="994"/>
      <c r="F51" s="433"/>
      <c r="G51" s="434"/>
      <c r="H51" s="435">
        <f>(1+H41+H43)*(1+H44)*(1+H45)</f>
        <v>2.5250076734693874</v>
      </c>
    </row>
    <row r="52" spans="1:11">
      <c r="A52" s="431" t="s">
        <v>241</v>
      </c>
      <c r="B52" s="432" t="str">
        <f>B19</f>
        <v>EQUIPE TÉCNICA DE CONSULTORES</v>
      </c>
      <c r="C52" s="994" t="s">
        <v>242</v>
      </c>
      <c r="D52" s="994"/>
      <c r="E52" s="994"/>
      <c r="F52" s="433"/>
      <c r="G52" s="436"/>
      <c r="H52" s="437">
        <f>(1+H42+H43)*(1+H44)*(1+H45)</f>
        <v>1.7413015043731779</v>
      </c>
    </row>
    <row r="53" spans="1:11">
      <c r="A53" s="431" t="s">
        <v>243</v>
      </c>
      <c r="B53" s="432" t="str">
        <f>B24</f>
        <v>SERVIÇO DE APOIO TÉCNICO</v>
      </c>
      <c r="C53" s="994" t="s">
        <v>244</v>
      </c>
      <c r="D53" s="994"/>
      <c r="E53" s="994"/>
      <c r="F53" s="433"/>
      <c r="G53" s="436"/>
      <c r="H53" s="437">
        <f>(1+H43)*(1+H44)*(1+H45)</f>
        <v>1.487633865889213</v>
      </c>
    </row>
    <row r="54" spans="1:11">
      <c r="A54" s="431" t="s">
        <v>245</v>
      </c>
      <c r="B54" s="432" t="str">
        <f>B29</f>
        <v>DESPESAS DIRETAS</v>
      </c>
      <c r="C54" s="994" t="s">
        <v>246</v>
      </c>
      <c r="D54" s="994"/>
      <c r="E54" s="994"/>
      <c r="F54" s="433"/>
      <c r="G54" s="436"/>
      <c r="H54" s="437">
        <f>(1+H44)*(1+H45)</f>
        <v>1.2683381924198249</v>
      </c>
    </row>
    <row r="55" spans="1:11" ht="15" customHeight="1">
      <c r="A55" s="346" t="s">
        <v>247</v>
      </c>
    </row>
    <row r="56" spans="1:11" ht="30" customHeight="1">
      <c r="A56" s="349" t="s">
        <v>248</v>
      </c>
      <c r="B56" s="992" t="s">
        <v>249</v>
      </c>
      <c r="C56" s="992"/>
      <c r="D56" s="992"/>
      <c r="E56" s="992"/>
      <c r="F56" s="992"/>
      <c r="G56" s="992"/>
      <c r="H56" s="350"/>
    </row>
    <row r="57" spans="1:11" ht="30" customHeight="1">
      <c r="A57" s="349" t="s">
        <v>250</v>
      </c>
      <c r="B57" s="992" t="s">
        <v>251</v>
      </c>
      <c r="C57" s="992"/>
      <c r="D57" s="992"/>
      <c r="E57" s="992"/>
      <c r="F57" s="992"/>
      <c r="G57" s="992"/>
      <c r="H57" s="350"/>
    </row>
    <row r="58" spans="1:11" ht="14.25" customHeight="1">
      <c r="A58" s="349" t="s">
        <v>252</v>
      </c>
      <c r="B58" s="992" t="s">
        <v>253</v>
      </c>
      <c r="C58" s="992"/>
      <c r="D58" s="992"/>
      <c r="E58" s="992"/>
      <c r="F58" s="992"/>
      <c r="G58" s="992"/>
      <c r="H58" s="350"/>
    </row>
    <row r="59" spans="1:11" ht="9.9499999999999993" customHeight="1">
      <c r="A59" s="351"/>
      <c r="B59" s="351"/>
      <c r="C59" s="351"/>
      <c r="D59" s="351"/>
      <c r="E59" s="351"/>
      <c r="F59" s="351"/>
      <c r="G59" s="351"/>
      <c r="H59" s="351"/>
      <c r="J59" s="438"/>
      <c r="K59" s="438"/>
    </row>
    <row r="62" spans="1:11">
      <c r="D62" s="439"/>
    </row>
    <row r="63" spans="1:11">
      <c r="A63" s="439"/>
      <c r="B63" s="439"/>
      <c r="D63" s="439"/>
    </row>
    <row r="64" spans="1:11">
      <c r="D64" s="352"/>
    </row>
    <row r="65" spans="1:9">
      <c r="D65" s="439"/>
    </row>
    <row r="66" spans="1:9">
      <c r="A66" s="440"/>
      <c r="B66" s="351"/>
      <c r="C66" s="357"/>
      <c r="D66" s="439"/>
      <c r="E66" s="357"/>
      <c r="F66" s="357"/>
      <c r="G66" s="357"/>
      <c r="H66" s="357"/>
      <c r="I66" s="354"/>
    </row>
  </sheetData>
  <mergeCells count="32">
    <mergeCell ref="H17:H18"/>
    <mergeCell ref="A1:H1"/>
    <mergeCell ref="B2:F2"/>
    <mergeCell ref="A5:A6"/>
    <mergeCell ref="B5:B6"/>
    <mergeCell ref="C5:D5"/>
    <mergeCell ref="F5:F6"/>
    <mergeCell ref="G5:G6"/>
    <mergeCell ref="H5:H6"/>
    <mergeCell ref="A17:A18"/>
    <mergeCell ref="B17:B18"/>
    <mergeCell ref="C17:D17"/>
    <mergeCell ref="F17:F18"/>
    <mergeCell ref="G17:G18"/>
    <mergeCell ref="A27:A28"/>
    <mergeCell ref="B27:B28"/>
    <mergeCell ref="C27:C28"/>
    <mergeCell ref="G27:G28"/>
    <mergeCell ref="H27:H28"/>
    <mergeCell ref="A22:A23"/>
    <mergeCell ref="B22:B23"/>
    <mergeCell ref="C22:C23"/>
    <mergeCell ref="G22:G23"/>
    <mergeCell ref="H22:H23"/>
    <mergeCell ref="B57:G57"/>
    <mergeCell ref="B58:G58"/>
    <mergeCell ref="A39:B39"/>
    <mergeCell ref="C51:E51"/>
    <mergeCell ref="C52:E52"/>
    <mergeCell ref="C53:E53"/>
    <mergeCell ref="C54:E54"/>
    <mergeCell ref="B56:G56"/>
  </mergeCells>
  <printOptions horizontalCentered="1"/>
  <pageMargins left="0.51181102362204722" right="0.51181102362204722" top="0.78740157480314965" bottom="0.78740157480314965" header="0.31496062992125984" footer="0.31496062992125984"/>
  <pageSetup paperSize="9" scale="66" fitToHeight="0" orientation="portrait" r:id="rId1"/>
  <headerFooter>
    <oddFooter>&amp;L&amp;F&amp;C&amp;A&amp;R&amp;P/&amp;N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K49"/>
  <sheetViews>
    <sheetView workbookViewId="0">
      <selection activeCell="E40" sqref="E40"/>
    </sheetView>
  </sheetViews>
  <sheetFormatPr defaultRowHeight="12.75"/>
  <cols>
    <col min="1" max="1" width="9" style="353"/>
    <col min="2" max="2" width="49.875" style="353" bestFit="1" customWidth="1"/>
    <col min="3" max="3" width="10.5" style="353" bestFit="1" customWidth="1"/>
    <col min="4" max="4" width="10.625" style="353" customWidth="1"/>
    <col min="5" max="5" width="12.625" style="353" customWidth="1"/>
    <col min="6" max="6" width="11.125" style="353" customWidth="1"/>
    <col min="7" max="7" width="12.25" style="353" bestFit="1" customWidth="1"/>
    <col min="8" max="8" width="9.875" style="353" bestFit="1" customWidth="1"/>
    <col min="9" max="12" width="11.125" style="353" customWidth="1"/>
    <col min="13" max="16384" width="9" style="353"/>
  </cols>
  <sheetData>
    <row r="1" spans="1:10" s="343" customFormat="1" ht="39.950000000000003" customHeight="1">
      <c r="A1" s="988" t="s">
        <v>738</v>
      </c>
      <c r="B1" s="988"/>
      <c r="C1" s="988"/>
      <c r="D1" s="988"/>
      <c r="E1" s="988"/>
      <c r="F1" s="988"/>
      <c r="G1" s="988"/>
      <c r="H1" s="988"/>
    </row>
    <row r="2" spans="1:10" ht="20.100000000000001" customHeight="1">
      <c r="A2" s="352"/>
      <c r="B2" s="989"/>
      <c r="C2" s="989"/>
      <c r="D2" s="989"/>
      <c r="E2" s="989"/>
      <c r="F2" s="989"/>
      <c r="G2" s="344"/>
      <c r="H2" s="345"/>
    </row>
    <row r="3" spans="1:10" ht="15.6" customHeight="1">
      <c r="A3" s="346"/>
      <c r="B3" s="442" t="s">
        <v>411</v>
      </c>
      <c r="C3" s="441">
        <v>12</v>
      </c>
      <c r="D3" s="441" t="s">
        <v>27</v>
      </c>
      <c r="E3" s="441">
        <v>160</v>
      </c>
      <c r="F3" s="440" t="s">
        <v>160</v>
      </c>
      <c r="G3" s="344" t="s">
        <v>210</v>
      </c>
      <c r="H3" s="625">
        <v>44146</v>
      </c>
    </row>
    <row r="4" spans="1:10" ht="9.9499999999999993" customHeight="1">
      <c r="F4" s="356"/>
      <c r="G4" s="357"/>
    </row>
    <row r="5" spans="1:10" ht="15" customHeight="1">
      <c r="A5" s="990" t="s">
        <v>285</v>
      </c>
      <c r="B5" s="991" t="s">
        <v>211</v>
      </c>
      <c r="C5" s="1001" t="s">
        <v>212</v>
      </c>
      <c r="D5" s="1002"/>
      <c r="E5" s="358" t="s">
        <v>213</v>
      </c>
      <c r="F5" s="1003" t="s">
        <v>214</v>
      </c>
      <c r="G5" s="1003" t="s">
        <v>215</v>
      </c>
      <c r="H5" s="1005" t="s">
        <v>216</v>
      </c>
    </row>
    <row r="6" spans="1:10" ht="15" customHeight="1">
      <c r="A6" s="990"/>
      <c r="B6" s="991"/>
      <c r="C6" s="359" t="s">
        <v>217</v>
      </c>
      <c r="D6" s="360" t="s">
        <v>218</v>
      </c>
      <c r="E6" s="361" t="s">
        <v>219</v>
      </c>
      <c r="F6" s="1003"/>
      <c r="G6" s="1004"/>
      <c r="H6" s="1005"/>
    </row>
    <row r="7" spans="1:10" ht="20.100000000000001" customHeight="1">
      <c r="A7" s="362">
        <v>1</v>
      </c>
      <c r="B7" s="363" t="s">
        <v>220</v>
      </c>
      <c r="C7" s="364"/>
      <c r="D7" s="365"/>
      <c r="E7" s="365"/>
      <c r="F7" s="364"/>
      <c r="G7" s="366">
        <f>SUM(G8:G9)</f>
        <v>15766.147913142855</v>
      </c>
      <c r="H7" s="367">
        <f>SUM(H8:H9)</f>
        <v>0.77277750412991641</v>
      </c>
    </row>
    <row r="8" spans="1:10" ht="20.100000000000001" customHeight="1">
      <c r="A8" s="368" t="s">
        <v>221</v>
      </c>
      <c r="B8" s="369" t="s">
        <v>739</v>
      </c>
      <c r="C8" s="370">
        <v>21182.87</v>
      </c>
      <c r="D8" s="371">
        <f>C8/$E$3</f>
        <v>132.39293749999999</v>
      </c>
      <c r="E8" s="382">
        <v>40</v>
      </c>
      <c r="F8" s="371">
        <f>D8*E8</f>
        <v>5295.7174999999997</v>
      </c>
      <c r="G8" s="371">
        <f>F8*$H$34</f>
        <v>13371.72732402612</v>
      </c>
      <c r="H8" s="373">
        <f>G8/$G$20</f>
        <v>0.655415014770519</v>
      </c>
    </row>
    <row r="9" spans="1:10" ht="20.100000000000001" customHeight="1">
      <c r="A9" s="368" t="s">
        <v>221</v>
      </c>
      <c r="B9" s="369" t="s">
        <v>397</v>
      </c>
      <c r="C9" s="370">
        <v>3793.13</v>
      </c>
      <c r="D9" s="371">
        <f t="shared" ref="D9" si="0">C9/$E$3</f>
        <v>23.707062499999999</v>
      </c>
      <c r="E9" s="382">
        <v>40</v>
      </c>
      <c r="F9" s="371">
        <f>D9*E9</f>
        <v>948.28250000000003</v>
      </c>
      <c r="G9" s="371">
        <f>F9*$H$34</f>
        <v>2394.4205891167344</v>
      </c>
      <c r="H9" s="373">
        <f>G9/$G$20</f>
        <v>0.11736248935939743</v>
      </c>
      <c r="J9" s="374"/>
    </row>
    <row r="10" spans="1:10" ht="6" customHeight="1">
      <c r="A10" s="368"/>
      <c r="B10" s="375"/>
      <c r="C10" s="370"/>
      <c r="D10" s="368"/>
      <c r="E10" s="370"/>
      <c r="F10" s="371"/>
      <c r="G10" s="376"/>
      <c r="H10" s="377"/>
      <c r="I10" s="378"/>
    </row>
    <row r="11" spans="1:10" ht="15" customHeight="1">
      <c r="A11" s="990" t="s">
        <v>285</v>
      </c>
      <c r="B11" s="995" t="s">
        <v>211</v>
      </c>
      <c r="C11" s="996" t="s">
        <v>224</v>
      </c>
      <c r="D11" s="384" t="s">
        <v>170</v>
      </c>
      <c r="E11" s="385" t="s">
        <v>169</v>
      </c>
      <c r="F11" s="384" t="s">
        <v>225</v>
      </c>
      <c r="G11" s="997" t="s">
        <v>226</v>
      </c>
      <c r="H11" s="998" t="s">
        <v>216</v>
      </c>
    </row>
    <row r="12" spans="1:10" ht="15" customHeight="1">
      <c r="A12" s="990"/>
      <c r="B12" s="995"/>
      <c r="C12" s="996"/>
      <c r="D12" s="386" t="s">
        <v>63</v>
      </c>
      <c r="E12" s="386" t="s">
        <v>173</v>
      </c>
      <c r="F12" s="387" t="s">
        <v>173</v>
      </c>
      <c r="G12" s="996"/>
      <c r="H12" s="998"/>
    </row>
    <row r="13" spans="1:10" ht="20.100000000000001" customHeight="1">
      <c r="A13" s="362">
        <v>4</v>
      </c>
      <c r="B13" s="363" t="s">
        <v>227</v>
      </c>
      <c r="C13" s="364"/>
      <c r="D13" s="365"/>
      <c r="E13" s="365"/>
      <c r="F13" s="364"/>
      <c r="G13" s="366">
        <f>SUM(G14:G19)</f>
        <v>4635.7760932944602</v>
      </c>
      <c r="H13" s="367">
        <f>SUM(H14:H19)</f>
        <v>0.22722249587008347</v>
      </c>
    </row>
    <row r="14" spans="1:10" ht="20.100000000000001" customHeight="1">
      <c r="A14" s="368"/>
      <c r="B14" s="402" t="s">
        <v>387</v>
      </c>
      <c r="C14" s="403" t="s">
        <v>391</v>
      </c>
      <c r="D14" s="396">
        <v>5</v>
      </c>
      <c r="E14" s="395">
        <f>2364/10</f>
        <v>236.4</v>
      </c>
      <c r="F14" s="371">
        <f t="shared" ref="F14:F19" si="1">D14*E14</f>
        <v>1182</v>
      </c>
      <c r="G14" s="371">
        <f t="shared" ref="G14:G19" si="2">F14*$H$37</f>
        <v>1499.175743440233</v>
      </c>
      <c r="H14" s="373">
        <f t="shared" ref="H14:H19" si="3">G14/$G$20</f>
        <v>7.3482076639791699E-2</v>
      </c>
    </row>
    <row r="15" spans="1:10" ht="20.100000000000001" customHeight="1">
      <c r="A15" s="368"/>
      <c r="B15" s="404" t="s">
        <v>405</v>
      </c>
      <c r="C15" s="395" t="s">
        <v>63</v>
      </c>
      <c r="D15" s="396">
        <f>20*20</f>
        <v>400</v>
      </c>
      <c r="E15" s="395">
        <v>2</v>
      </c>
      <c r="F15" s="371">
        <f t="shared" si="1"/>
        <v>800</v>
      </c>
      <c r="G15" s="371">
        <f t="shared" si="2"/>
        <v>1014.67055393586</v>
      </c>
      <c r="H15" s="373">
        <f t="shared" si="3"/>
        <v>4.9734062023547687E-2</v>
      </c>
    </row>
    <row r="16" spans="1:10" ht="20.100000000000001" customHeight="1">
      <c r="A16" s="368"/>
      <c r="B16" s="404" t="s">
        <v>389</v>
      </c>
      <c r="C16" s="395" t="s">
        <v>63</v>
      </c>
      <c r="D16" s="396">
        <f>20*20</f>
        <v>400</v>
      </c>
      <c r="E16" s="395">
        <v>0.3</v>
      </c>
      <c r="F16" s="371">
        <f t="shared" si="1"/>
        <v>120</v>
      </c>
      <c r="G16" s="371">
        <f t="shared" si="2"/>
        <v>152.20058309037898</v>
      </c>
      <c r="H16" s="373">
        <f t="shared" si="3"/>
        <v>7.4601093035321529E-3</v>
      </c>
    </row>
    <row r="17" spans="1:8" ht="20.100000000000001" customHeight="1">
      <c r="A17" s="368"/>
      <c r="B17" s="404" t="s">
        <v>390</v>
      </c>
      <c r="C17" s="395" t="s">
        <v>63</v>
      </c>
      <c r="D17" s="396">
        <v>20</v>
      </c>
      <c r="E17" s="395">
        <v>18.899999999999999</v>
      </c>
      <c r="F17" s="371">
        <f t="shared" si="1"/>
        <v>378</v>
      </c>
      <c r="G17" s="371">
        <f t="shared" si="2"/>
        <v>479.43183673469383</v>
      </c>
      <c r="H17" s="373">
        <f t="shared" si="3"/>
        <v>2.3499344306126282E-2</v>
      </c>
    </row>
    <row r="18" spans="1:8" ht="20.100000000000001" customHeight="1">
      <c r="A18" s="368"/>
      <c r="B18" s="404" t="s">
        <v>408</v>
      </c>
      <c r="C18" s="395" t="s">
        <v>63</v>
      </c>
      <c r="D18" s="396">
        <v>5</v>
      </c>
      <c r="E18" s="395">
        <v>30</v>
      </c>
      <c r="F18" s="371">
        <f t="shared" si="1"/>
        <v>150</v>
      </c>
      <c r="G18" s="371">
        <f t="shared" si="2"/>
        <v>190.25072886297374</v>
      </c>
      <c r="H18" s="373">
        <f t="shared" si="3"/>
        <v>9.3251366294151913E-3</v>
      </c>
    </row>
    <row r="19" spans="1:8" ht="20.100000000000001" customHeight="1">
      <c r="A19" s="368"/>
      <c r="B19" s="404" t="s">
        <v>283</v>
      </c>
      <c r="C19" s="395" t="s">
        <v>392</v>
      </c>
      <c r="D19" s="396">
        <v>5</v>
      </c>
      <c r="E19" s="395">
        <v>205</v>
      </c>
      <c r="F19" s="371">
        <f t="shared" si="1"/>
        <v>1025</v>
      </c>
      <c r="G19" s="371">
        <f t="shared" si="2"/>
        <v>1300.0466472303206</v>
      </c>
      <c r="H19" s="373">
        <f t="shared" si="3"/>
        <v>6.3721766967670471E-2</v>
      </c>
    </row>
    <row r="20" spans="1:8" ht="20.100000000000001" customHeight="1">
      <c r="A20" s="405"/>
      <c r="B20" s="405" t="s">
        <v>228</v>
      </c>
      <c r="C20" s="405"/>
      <c r="D20" s="405"/>
      <c r="E20" s="406"/>
      <c r="F20" s="407"/>
      <c r="G20" s="408">
        <f>G7+G13</f>
        <v>20401.924006437315</v>
      </c>
      <c r="H20" s="409">
        <f>H7+H13</f>
        <v>0.99999999999999989</v>
      </c>
    </row>
    <row r="21" spans="1:8" ht="6" customHeight="1">
      <c r="A21" s="410"/>
      <c r="B21" s="410"/>
      <c r="C21" s="410"/>
      <c r="D21" s="410"/>
      <c r="E21" s="410"/>
      <c r="F21" s="410"/>
      <c r="G21" s="410"/>
      <c r="H21" s="410"/>
    </row>
    <row r="22" spans="1:8" ht="20.100000000000001" customHeight="1">
      <c r="A22" s="993" t="s">
        <v>229</v>
      </c>
      <c r="B22" s="993"/>
      <c r="C22" s="411"/>
      <c r="D22" s="411"/>
      <c r="E22" s="411">
        <v>20</v>
      </c>
      <c r="F22" s="411" t="s">
        <v>740</v>
      </c>
      <c r="G22" s="586">
        <f>G20/E22</f>
        <v>1020.0962003218658</v>
      </c>
      <c r="H22" s="411"/>
    </row>
    <row r="23" spans="1:8" ht="3" customHeight="1">
      <c r="A23" s="412"/>
      <c r="B23" s="413"/>
      <c r="C23" s="412"/>
      <c r="D23" s="414"/>
      <c r="E23" s="415"/>
      <c r="F23" s="416"/>
      <c r="G23" s="370"/>
      <c r="H23" s="370"/>
    </row>
    <row r="24" spans="1:8">
      <c r="A24" s="417"/>
      <c r="B24" s="417" t="s">
        <v>230</v>
      </c>
      <c r="C24" s="418"/>
      <c r="D24" s="419"/>
      <c r="E24" s="420"/>
      <c r="F24" s="421"/>
      <c r="G24" s="422"/>
      <c r="H24" s="423">
        <v>0.81789999999999996</v>
      </c>
    </row>
    <row r="25" spans="1:8">
      <c r="A25" s="417"/>
      <c r="B25" s="417" t="s">
        <v>231</v>
      </c>
      <c r="C25" s="418"/>
      <c r="D25" s="419"/>
      <c r="E25" s="420"/>
      <c r="F25" s="421"/>
      <c r="G25" s="422"/>
      <c r="H25" s="423">
        <v>0.2</v>
      </c>
    </row>
    <row r="26" spans="1:8">
      <c r="A26" s="424"/>
      <c r="B26" s="424" t="s">
        <v>232</v>
      </c>
      <c r="C26" s="424"/>
      <c r="D26" s="419"/>
      <c r="E26" s="420"/>
      <c r="F26" s="421"/>
      <c r="G26" s="422"/>
      <c r="H26" s="423">
        <v>0.1729</v>
      </c>
    </row>
    <row r="27" spans="1:8">
      <c r="A27" s="424"/>
      <c r="B27" s="424" t="s">
        <v>233</v>
      </c>
      <c r="C27" s="424"/>
      <c r="D27" s="419"/>
      <c r="E27" s="420"/>
      <c r="F27" s="421"/>
      <c r="G27" s="422"/>
      <c r="H27" s="423">
        <v>8.7599999999999997E-2</v>
      </c>
    </row>
    <row r="28" spans="1:8">
      <c r="A28" s="424"/>
      <c r="B28" s="424" t="s">
        <v>234</v>
      </c>
      <c r="C28" s="424"/>
      <c r="D28" s="419"/>
      <c r="E28" s="420"/>
      <c r="F28" s="421"/>
      <c r="G28" s="422"/>
      <c r="H28" s="423">
        <f>(1/(1-(C30+C31+C32)))-1</f>
        <v>0.16618075801749277</v>
      </c>
    </row>
    <row r="29" spans="1:8">
      <c r="A29" s="425"/>
      <c r="B29" s="425" t="s">
        <v>235</v>
      </c>
      <c r="C29" s="417"/>
      <c r="D29" s="419"/>
      <c r="E29" s="420"/>
      <c r="F29" s="421"/>
      <c r="G29" s="422"/>
      <c r="H29" s="423"/>
    </row>
    <row r="30" spans="1:8">
      <c r="A30" s="417"/>
      <c r="B30" s="417" t="s">
        <v>236</v>
      </c>
      <c r="C30" s="426">
        <v>1.6500000000000001E-2</v>
      </c>
      <c r="D30" s="419"/>
      <c r="E30" s="420"/>
      <c r="F30" s="421"/>
      <c r="G30" s="422"/>
      <c r="H30" s="427"/>
    </row>
    <row r="31" spans="1:8">
      <c r="A31" s="417"/>
      <c r="B31" s="417" t="s">
        <v>237</v>
      </c>
      <c r="C31" s="426">
        <v>7.5999999999999998E-2</v>
      </c>
      <c r="D31" s="419"/>
      <c r="E31" s="420"/>
      <c r="F31" s="421"/>
      <c r="G31" s="422"/>
      <c r="H31" s="427"/>
    </row>
    <row r="32" spans="1:8">
      <c r="A32" s="417"/>
      <c r="B32" s="417" t="s">
        <v>238</v>
      </c>
      <c r="C32" s="426">
        <v>0.05</v>
      </c>
      <c r="D32" s="419"/>
      <c r="E32" s="420"/>
      <c r="F32" s="421"/>
      <c r="G32" s="422"/>
      <c r="H32" s="427"/>
    </row>
    <row r="33" spans="1:11" ht="3" customHeight="1">
      <c r="A33" s="412"/>
      <c r="B33" s="428"/>
      <c r="C33" s="429"/>
      <c r="D33" s="430"/>
      <c r="E33" s="415"/>
      <c r="F33" s="428"/>
      <c r="G33" s="370"/>
      <c r="H33" s="414"/>
    </row>
    <row r="34" spans="1:11">
      <c r="A34" s="431" t="s">
        <v>239</v>
      </c>
      <c r="B34" s="432" t="str">
        <f>B7</f>
        <v>EQUIPE TÉCNICA PERMANENTE</v>
      </c>
      <c r="C34" s="994" t="s">
        <v>240</v>
      </c>
      <c r="D34" s="994"/>
      <c r="E34" s="994"/>
      <c r="F34" s="433"/>
      <c r="G34" s="434"/>
      <c r="H34" s="435">
        <f>(1+H24+H26)*(1+H27)*(1+H28)</f>
        <v>2.5250076734693874</v>
      </c>
    </row>
    <row r="35" spans="1:11">
      <c r="A35" s="431" t="s">
        <v>241</v>
      </c>
      <c r="B35" s="432" t="e">
        <f>#REF!</f>
        <v>#REF!</v>
      </c>
      <c r="C35" s="994" t="s">
        <v>242</v>
      </c>
      <c r="D35" s="994"/>
      <c r="E35" s="994"/>
      <c r="F35" s="433"/>
      <c r="G35" s="436"/>
      <c r="H35" s="437">
        <f>(1+H25+H26)*(1+H27)*(1+H28)</f>
        <v>1.7413015043731779</v>
      </c>
    </row>
    <row r="36" spans="1:11">
      <c r="A36" s="431" t="s">
        <v>243</v>
      </c>
      <c r="B36" s="432" t="e">
        <f>#REF!</f>
        <v>#REF!</v>
      </c>
      <c r="C36" s="994" t="s">
        <v>244</v>
      </c>
      <c r="D36" s="994"/>
      <c r="E36" s="994"/>
      <c r="F36" s="433"/>
      <c r="G36" s="436"/>
      <c r="H36" s="437">
        <f>(1+H26)*(1+H27)*(1+H28)</f>
        <v>1.487633865889213</v>
      </c>
    </row>
    <row r="37" spans="1:11">
      <c r="A37" s="431" t="s">
        <v>245</v>
      </c>
      <c r="B37" s="432" t="str">
        <f>B13</f>
        <v>DESPESAS DIRETAS</v>
      </c>
      <c r="C37" s="994" t="s">
        <v>246</v>
      </c>
      <c r="D37" s="994"/>
      <c r="E37" s="994"/>
      <c r="F37" s="433"/>
      <c r="G37" s="436"/>
      <c r="H37" s="437">
        <f>(1+H27)*(1+H28)</f>
        <v>1.2683381924198249</v>
      </c>
    </row>
    <row r="38" spans="1:11" ht="15" customHeight="1">
      <c r="A38" s="346" t="s">
        <v>247</v>
      </c>
    </row>
    <row r="39" spans="1:11" ht="30" customHeight="1">
      <c r="A39" s="349" t="s">
        <v>248</v>
      </c>
      <c r="B39" s="992" t="s">
        <v>249</v>
      </c>
      <c r="C39" s="992"/>
      <c r="D39" s="992"/>
      <c r="E39" s="992"/>
      <c r="F39" s="992"/>
      <c r="G39" s="992"/>
      <c r="H39" s="350"/>
    </row>
    <row r="40" spans="1:11" ht="30" customHeight="1">
      <c r="A40" s="349" t="s">
        <v>250</v>
      </c>
      <c r="B40" s="992" t="s">
        <v>251</v>
      </c>
      <c r="C40" s="992"/>
      <c r="D40" s="992"/>
      <c r="E40" s="992"/>
      <c r="F40" s="992"/>
      <c r="G40" s="992"/>
      <c r="H40" s="350"/>
    </row>
    <row r="41" spans="1:11" ht="14.25" customHeight="1">
      <c r="A41" s="349" t="s">
        <v>252</v>
      </c>
      <c r="B41" s="992" t="s">
        <v>253</v>
      </c>
      <c r="C41" s="992"/>
      <c r="D41" s="992"/>
      <c r="E41" s="992"/>
      <c r="F41" s="992"/>
      <c r="G41" s="992"/>
      <c r="H41" s="350"/>
    </row>
    <row r="42" spans="1:11" ht="9.9499999999999993" customHeight="1">
      <c r="A42" s="351"/>
      <c r="B42" s="351"/>
      <c r="C42" s="351"/>
      <c r="D42" s="351"/>
      <c r="E42" s="351"/>
      <c r="F42" s="351"/>
      <c r="G42" s="351"/>
      <c r="H42" s="351"/>
      <c r="J42" s="438"/>
      <c r="K42" s="438"/>
    </row>
    <row r="45" spans="1:11">
      <c r="D45" s="439"/>
    </row>
    <row r="46" spans="1:11">
      <c r="A46" s="439"/>
      <c r="B46" s="439"/>
      <c r="D46" s="439"/>
    </row>
    <row r="47" spans="1:11">
      <c r="D47" s="352"/>
    </row>
    <row r="48" spans="1:11">
      <c r="D48" s="439"/>
    </row>
    <row r="49" spans="1:9">
      <c r="A49" s="440"/>
      <c r="B49" s="351"/>
      <c r="C49" s="357"/>
      <c r="D49" s="439"/>
      <c r="E49" s="357"/>
      <c r="F49" s="357"/>
      <c r="G49" s="357"/>
      <c r="H49" s="357"/>
      <c r="I49" s="354"/>
    </row>
  </sheetData>
  <mergeCells count="21">
    <mergeCell ref="A22:B22"/>
    <mergeCell ref="A1:H1"/>
    <mergeCell ref="B2:F2"/>
    <mergeCell ref="A5:A6"/>
    <mergeCell ref="B5:B6"/>
    <mergeCell ref="C5:D5"/>
    <mergeCell ref="F5:F6"/>
    <mergeCell ref="G5:G6"/>
    <mergeCell ref="H5:H6"/>
    <mergeCell ref="A11:A12"/>
    <mergeCell ref="B11:B12"/>
    <mergeCell ref="C11:C12"/>
    <mergeCell ref="G11:G12"/>
    <mergeCell ref="H11:H12"/>
    <mergeCell ref="B41:G41"/>
    <mergeCell ref="C34:E34"/>
    <mergeCell ref="C35:E35"/>
    <mergeCell ref="C36:E36"/>
    <mergeCell ref="C37:E37"/>
    <mergeCell ref="B39:G39"/>
    <mergeCell ref="B40:G40"/>
  </mergeCells>
  <printOptions horizontalCentered="1"/>
  <pageMargins left="0.51181102362204722" right="0.51181102362204722" top="0.78740157480314965" bottom="0.78740157480314965" header="0.31496062992125984" footer="0.31496062992125984"/>
  <pageSetup paperSize="9" scale="66" fitToHeight="0" orientation="portrait" r:id="rId1"/>
  <headerFooter>
    <oddFooter>&amp;L&amp;F&amp;C&amp;A&amp;R&amp;P/&amp;N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I55"/>
  <sheetViews>
    <sheetView workbookViewId="0">
      <selection activeCell="E40" sqref="E40"/>
    </sheetView>
  </sheetViews>
  <sheetFormatPr defaultRowHeight="15.75"/>
  <cols>
    <col min="1" max="1" width="9.125" style="175" bestFit="1" customWidth="1"/>
    <col min="2" max="2" width="49.875" style="175" bestFit="1" customWidth="1"/>
    <col min="3" max="3" width="10.625" style="175" bestFit="1" customWidth="1"/>
    <col min="4" max="4" width="10.625" style="175" customWidth="1"/>
    <col min="5" max="5" width="12.625" style="175" customWidth="1"/>
    <col min="6" max="6" width="11.125" style="175" customWidth="1"/>
    <col min="7" max="7" width="12.375" style="175" bestFit="1" customWidth="1"/>
    <col min="8" max="8" width="10.375" style="175" bestFit="1" customWidth="1"/>
    <col min="9" max="12" width="11.125" style="175" customWidth="1"/>
    <col min="13" max="16384" width="9" style="175"/>
  </cols>
  <sheetData>
    <row r="1" spans="1:9" s="174" customFormat="1" ht="39.950000000000003" customHeight="1">
      <c r="A1" s="173"/>
      <c r="B1" s="1015" t="s">
        <v>797</v>
      </c>
      <c r="C1" s="1015"/>
      <c r="D1" s="1015"/>
      <c r="E1" s="1015"/>
      <c r="F1" s="1015"/>
      <c r="G1" s="1015"/>
      <c r="H1" s="173"/>
    </row>
    <row r="2" spans="1:9" ht="9.9499999999999993" customHeight="1">
      <c r="F2" s="176"/>
      <c r="G2" s="177"/>
    </row>
    <row r="3" spans="1:9" ht="15.6" customHeight="1">
      <c r="A3" s="179"/>
      <c r="B3" s="442" t="s">
        <v>411</v>
      </c>
      <c r="C3" s="441">
        <v>12</v>
      </c>
      <c r="D3" s="441" t="s">
        <v>27</v>
      </c>
      <c r="E3" s="441">
        <v>160</v>
      </c>
      <c r="F3" s="440" t="s">
        <v>160</v>
      </c>
      <c r="G3" s="344" t="s">
        <v>210</v>
      </c>
      <c r="H3" s="625">
        <v>44146</v>
      </c>
    </row>
    <row r="4" spans="1:9" ht="9.9499999999999993" customHeight="1">
      <c r="F4" s="176"/>
      <c r="G4" s="177"/>
    </row>
    <row r="5" spans="1:9" ht="15" customHeight="1">
      <c r="A5" s="977" t="s">
        <v>285</v>
      </c>
      <c r="B5" s="983" t="s">
        <v>211</v>
      </c>
      <c r="C5" s="984" t="s">
        <v>212</v>
      </c>
      <c r="D5" s="985"/>
      <c r="E5" s="183" t="s">
        <v>213</v>
      </c>
      <c r="F5" s="986" t="s">
        <v>214</v>
      </c>
      <c r="G5" s="986" t="s">
        <v>215</v>
      </c>
      <c r="H5" s="976" t="s">
        <v>216</v>
      </c>
    </row>
    <row r="6" spans="1:9" ht="15" customHeight="1">
      <c r="A6" s="977"/>
      <c r="B6" s="983"/>
      <c r="C6" s="184" t="s">
        <v>217</v>
      </c>
      <c r="D6" s="185" t="s">
        <v>218</v>
      </c>
      <c r="E6" s="186" t="s">
        <v>219</v>
      </c>
      <c r="F6" s="986"/>
      <c r="G6" s="987"/>
      <c r="H6" s="976"/>
    </row>
    <row r="7" spans="1:9" ht="20.100000000000001" customHeight="1">
      <c r="A7" s="187">
        <v>1</v>
      </c>
      <c r="B7" s="188" t="s">
        <v>332</v>
      </c>
      <c r="C7" s="189"/>
      <c r="D7" s="190"/>
      <c r="E7" s="190"/>
      <c r="F7" s="189"/>
      <c r="G7" s="191">
        <f>SUM(G8:G9)</f>
        <v>61430.85213640143</v>
      </c>
      <c r="H7" s="192">
        <f>SUM(H8:H9)</f>
        <v>0.70014965466677193</v>
      </c>
    </row>
    <row r="8" spans="1:9" ht="20.100000000000001" customHeight="1">
      <c r="A8" s="193" t="s">
        <v>331</v>
      </c>
      <c r="B8" s="194" t="s">
        <v>177</v>
      </c>
      <c r="C8" s="195">
        <f>'Escola de projetos'!C13</f>
        <v>9500</v>
      </c>
      <c r="D8" s="196">
        <f>C8/'Dias trabalhados'!$C$15</f>
        <v>57.212831734050674</v>
      </c>
      <c r="E8" s="197">
        <f>3*E3</f>
        <v>480</v>
      </c>
      <c r="F8" s="196">
        <f>D8*E8</f>
        <v>27462.159232344322</v>
      </c>
      <c r="G8" s="196">
        <f>F8*$H$39</f>
        <v>53080.844218777667</v>
      </c>
      <c r="H8" s="198">
        <f>G8/$G$25</f>
        <v>0.60498159242000338</v>
      </c>
    </row>
    <row r="9" spans="1:9" ht="20.100000000000001" customHeight="1">
      <c r="A9" s="193" t="s">
        <v>331</v>
      </c>
      <c r="B9" s="194" t="s">
        <v>333</v>
      </c>
      <c r="C9" s="195">
        <f>'Escola de projetos'!$C$23</f>
        <v>1440</v>
      </c>
      <c r="D9" s="196">
        <f>C9/120</f>
        <v>12</v>
      </c>
      <c r="E9" s="197">
        <f>3*120</f>
        <v>360</v>
      </c>
      <c r="F9" s="196">
        <f>D9*E9</f>
        <v>4320</v>
      </c>
      <c r="G9" s="196">
        <f>F9*$H$39</f>
        <v>8350.0079176237596</v>
      </c>
      <c r="H9" s="198">
        <f>G9/$G$25</f>
        <v>9.5168062246768562E-2</v>
      </c>
    </row>
    <row r="10" spans="1:9" ht="20.100000000000001" customHeight="1">
      <c r="A10" s="193" t="s">
        <v>331</v>
      </c>
      <c r="B10" s="194" t="s">
        <v>333</v>
      </c>
      <c r="C10" s="195">
        <f>'Escola de projetos'!$C$23</f>
        <v>1440</v>
      </c>
      <c r="D10" s="196">
        <f>C10/120</f>
        <v>12</v>
      </c>
      <c r="E10" s="197">
        <f t="shared" ref="E10:E12" si="0">3*120</f>
        <v>360</v>
      </c>
      <c r="F10" s="196">
        <f t="shared" ref="F10:F12" si="1">D10*E10</f>
        <v>4320</v>
      </c>
      <c r="G10" s="196">
        <f t="shared" ref="G10:G12" si="2">F10*$H$39</f>
        <v>8350.0079176237596</v>
      </c>
      <c r="H10" s="198">
        <f t="shared" ref="H10:H12" si="3">G10/$G$25</f>
        <v>9.5168062246768562E-2</v>
      </c>
    </row>
    <row r="11" spans="1:9" ht="20.100000000000001" customHeight="1">
      <c r="A11" s="193" t="s">
        <v>331</v>
      </c>
      <c r="B11" s="194" t="s">
        <v>333</v>
      </c>
      <c r="C11" s="195">
        <f>'Escola de projetos'!$C$23</f>
        <v>1440</v>
      </c>
      <c r="D11" s="196">
        <f t="shared" ref="D11:D12" si="4">C11/120</f>
        <v>12</v>
      </c>
      <c r="E11" s="197">
        <f t="shared" si="0"/>
        <v>360</v>
      </c>
      <c r="F11" s="196">
        <f t="shared" si="1"/>
        <v>4320</v>
      </c>
      <c r="G11" s="196">
        <f t="shared" si="2"/>
        <v>8350.0079176237596</v>
      </c>
      <c r="H11" s="198">
        <f t="shared" si="3"/>
        <v>9.5168062246768562E-2</v>
      </c>
    </row>
    <row r="12" spans="1:9" ht="20.100000000000001" customHeight="1">
      <c r="A12" s="193" t="s">
        <v>331</v>
      </c>
      <c r="B12" s="194" t="s">
        <v>333</v>
      </c>
      <c r="C12" s="195">
        <f>'Escola de projetos'!$C$23</f>
        <v>1440</v>
      </c>
      <c r="D12" s="196">
        <f t="shared" si="4"/>
        <v>12</v>
      </c>
      <c r="E12" s="197">
        <f t="shared" si="0"/>
        <v>360</v>
      </c>
      <c r="F12" s="196">
        <f t="shared" si="1"/>
        <v>4320</v>
      </c>
      <c r="G12" s="196">
        <f t="shared" si="2"/>
        <v>8350.0079176237596</v>
      </c>
      <c r="H12" s="198">
        <f t="shared" si="3"/>
        <v>9.5168062246768562E-2</v>
      </c>
    </row>
    <row r="13" spans="1:9" ht="20.100000000000001" customHeight="1">
      <c r="A13" s="193"/>
      <c r="B13" s="194"/>
      <c r="C13" s="195"/>
      <c r="D13" s="196"/>
      <c r="E13" s="197"/>
      <c r="F13" s="196"/>
      <c r="G13" s="196"/>
      <c r="H13" s="198"/>
    </row>
    <row r="14" spans="1:9" ht="6" customHeight="1">
      <c r="A14" s="193"/>
      <c r="B14" s="199"/>
      <c r="C14" s="195"/>
      <c r="D14" s="193"/>
      <c r="E14" s="195"/>
      <c r="F14" s="196"/>
      <c r="G14" s="200"/>
      <c r="H14" s="201"/>
      <c r="I14" s="202"/>
    </row>
    <row r="15" spans="1:9" ht="15" customHeight="1">
      <c r="A15" s="977" t="s">
        <v>285</v>
      </c>
      <c r="B15" s="978" t="s">
        <v>211</v>
      </c>
      <c r="C15" s="979" t="s">
        <v>224</v>
      </c>
      <c r="D15" s="204" t="s">
        <v>170</v>
      </c>
      <c r="E15" s="205" t="s">
        <v>169</v>
      </c>
      <c r="F15" s="204" t="s">
        <v>225</v>
      </c>
      <c r="G15" s="980" t="s">
        <v>226</v>
      </c>
      <c r="H15" s="981" t="s">
        <v>216</v>
      </c>
    </row>
    <row r="16" spans="1:9" ht="15" customHeight="1">
      <c r="A16" s="977"/>
      <c r="B16" s="978"/>
      <c r="C16" s="979"/>
      <c r="D16" s="206" t="s">
        <v>63</v>
      </c>
      <c r="E16" s="206" t="s">
        <v>173</v>
      </c>
      <c r="F16" s="207" t="s">
        <v>173</v>
      </c>
      <c r="G16" s="979"/>
      <c r="H16" s="981"/>
    </row>
    <row r="17" spans="1:8" ht="20.100000000000001" customHeight="1">
      <c r="A17" s="187">
        <v>4</v>
      </c>
      <c r="B17" s="188" t="s">
        <v>227</v>
      </c>
      <c r="C17" s="189"/>
      <c r="D17" s="190"/>
      <c r="E17" s="190"/>
      <c r="F17" s="189"/>
      <c r="G17" s="191">
        <f>SUM(G18:G24)</f>
        <v>26308.75</v>
      </c>
      <c r="H17" s="192">
        <f>SUM(H18:H24)</f>
        <v>0.29985034533322807</v>
      </c>
    </row>
    <row r="18" spans="1:8" ht="20.100000000000001" customHeight="1">
      <c r="A18" s="193" t="s">
        <v>330</v>
      </c>
      <c r="B18" s="208" t="s">
        <v>276</v>
      </c>
      <c r="C18" s="196" t="s">
        <v>277</v>
      </c>
      <c r="D18" s="203">
        <v>3</v>
      </c>
      <c r="E18" s="196">
        <v>3366.25</v>
      </c>
      <c r="F18" s="196">
        <f t="shared" ref="F18:F24" si="5">D18*E18</f>
        <v>10098.75</v>
      </c>
      <c r="G18" s="196">
        <f t="shared" ref="G18:G24" si="6">F18*$H$42</f>
        <v>10098.75</v>
      </c>
      <c r="H18" s="198">
        <f>G18/$G$25</f>
        <v>0.11509910865905588</v>
      </c>
    </row>
    <row r="19" spans="1:8" ht="20.100000000000001" customHeight="1">
      <c r="A19" s="193" t="s">
        <v>330</v>
      </c>
      <c r="B19" s="208" t="s">
        <v>278</v>
      </c>
      <c r="C19" s="196" t="s">
        <v>284</v>
      </c>
      <c r="D19" s="203">
        <v>50</v>
      </c>
      <c r="E19" s="196">
        <v>10</v>
      </c>
      <c r="F19" s="196">
        <f t="shared" si="5"/>
        <v>500</v>
      </c>
      <c r="G19" s="196">
        <f t="shared" si="6"/>
        <v>500</v>
      </c>
      <c r="H19" s="198">
        <f t="shared" ref="H19:H24" si="7">G19/$G$25</f>
        <v>5.6986809584877278E-3</v>
      </c>
    </row>
    <row r="20" spans="1:8" ht="20.100000000000001" customHeight="1">
      <c r="A20" s="193" t="s">
        <v>330</v>
      </c>
      <c r="B20" s="208" t="s">
        <v>279</v>
      </c>
      <c r="C20" s="196" t="s">
        <v>63</v>
      </c>
      <c r="D20" s="203">
        <v>5000</v>
      </c>
      <c r="E20" s="196">
        <v>0.25</v>
      </c>
      <c r="F20" s="196">
        <f t="shared" si="5"/>
        <v>1250</v>
      </c>
      <c r="G20" s="196">
        <f t="shared" si="6"/>
        <v>1250</v>
      </c>
      <c r="H20" s="198">
        <f t="shared" si="7"/>
        <v>1.4246702396219319E-2</v>
      </c>
    </row>
    <row r="21" spans="1:8" ht="20.100000000000001" customHeight="1">
      <c r="A21" s="193" t="s">
        <v>330</v>
      </c>
      <c r="B21" s="208" t="s">
        <v>281</v>
      </c>
      <c r="C21" s="196" t="s">
        <v>63</v>
      </c>
      <c r="D21" s="203">
        <v>20</v>
      </c>
      <c r="E21" s="196">
        <v>15</v>
      </c>
      <c r="F21" s="196">
        <f t="shared" si="5"/>
        <v>300</v>
      </c>
      <c r="G21" s="196">
        <f t="shared" si="6"/>
        <v>300</v>
      </c>
      <c r="H21" s="198">
        <f t="shared" si="7"/>
        <v>3.4192085750926367E-3</v>
      </c>
    </row>
    <row r="22" spans="1:8" ht="20.100000000000001" customHeight="1">
      <c r="A22" s="193" t="s">
        <v>330</v>
      </c>
      <c r="B22" s="208" t="s">
        <v>280</v>
      </c>
      <c r="C22" s="196" t="s">
        <v>63</v>
      </c>
      <c r="D22" s="203">
        <v>0</v>
      </c>
      <c r="E22" s="196">
        <v>150</v>
      </c>
      <c r="F22" s="196">
        <f t="shared" si="5"/>
        <v>0</v>
      </c>
      <c r="G22" s="196">
        <f t="shared" si="6"/>
        <v>0</v>
      </c>
      <c r="H22" s="198">
        <f t="shared" si="7"/>
        <v>0</v>
      </c>
    </row>
    <row r="23" spans="1:8" ht="20.100000000000001" customHeight="1">
      <c r="A23" s="193" t="s">
        <v>330</v>
      </c>
      <c r="B23" s="208" t="s">
        <v>282</v>
      </c>
      <c r="C23" s="196" t="s">
        <v>63</v>
      </c>
      <c r="D23" s="203">
        <f>4*12</f>
        <v>48</v>
      </c>
      <c r="E23" s="196">
        <v>20</v>
      </c>
      <c r="F23" s="196">
        <f t="shared" si="5"/>
        <v>960</v>
      </c>
      <c r="G23" s="196">
        <f t="shared" si="6"/>
        <v>960</v>
      </c>
      <c r="H23" s="198">
        <f t="shared" si="7"/>
        <v>1.0941467440296438E-2</v>
      </c>
    </row>
    <row r="24" spans="1:8" ht="20.100000000000001" customHeight="1">
      <c r="A24" s="193" t="s">
        <v>330</v>
      </c>
      <c r="B24" s="208" t="s">
        <v>283</v>
      </c>
      <c r="C24" s="196" t="s">
        <v>63</v>
      </c>
      <c r="D24" s="203">
        <f>5*12</f>
        <v>60</v>
      </c>
      <c r="E24" s="196">
        <v>220</v>
      </c>
      <c r="F24" s="196">
        <f t="shared" si="5"/>
        <v>13200</v>
      </c>
      <c r="G24" s="196">
        <f t="shared" si="6"/>
        <v>13200</v>
      </c>
      <c r="H24" s="198">
        <f t="shared" si="7"/>
        <v>0.15044517730407603</v>
      </c>
    </row>
    <row r="25" spans="1:8" ht="20.100000000000001" customHeight="1">
      <c r="A25" s="242"/>
      <c r="B25" s="168" t="s">
        <v>228</v>
      </c>
      <c r="C25" s="168"/>
      <c r="D25" s="168"/>
      <c r="E25" s="169"/>
      <c r="F25" s="170"/>
      <c r="G25" s="171">
        <f>G7+G17</f>
        <v>87739.60213640143</v>
      </c>
      <c r="H25" s="172">
        <f>H7+H17</f>
        <v>1</v>
      </c>
    </row>
    <row r="26" spans="1:8" ht="6" customHeight="1">
      <c r="A26" s="210"/>
      <c r="B26" s="210"/>
      <c r="C26" s="210"/>
      <c r="D26" s="210"/>
      <c r="E26" s="210"/>
      <c r="F26" s="210"/>
      <c r="G26" s="210"/>
      <c r="H26" s="210"/>
    </row>
    <row r="27" spans="1:8" ht="20.100000000000001" customHeight="1">
      <c r="A27" s="974" t="s">
        <v>229</v>
      </c>
      <c r="B27" s="974"/>
      <c r="C27" s="211"/>
      <c r="D27" s="211"/>
      <c r="E27" s="211"/>
      <c r="F27" s="211"/>
      <c r="G27" s="211"/>
      <c r="H27" s="211"/>
    </row>
    <row r="28" spans="1:8" ht="3" customHeight="1">
      <c r="A28" s="212"/>
      <c r="B28" s="213"/>
      <c r="C28" s="212"/>
      <c r="D28" s="214"/>
      <c r="E28" s="215"/>
      <c r="F28" s="216"/>
      <c r="G28" s="195"/>
      <c r="H28" s="195"/>
    </row>
    <row r="29" spans="1:8">
      <c r="A29" s="217"/>
      <c r="B29" s="217" t="s">
        <v>230</v>
      </c>
      <c r="C29" s="218"/>
      <c r="D29" s="219"/>
      <c r="E29" s="220"/>
      <c r="F29" s="221"/>
      <c r="G29" s="222"/>
      <c r="H29" s="223">
        <f>'Encargos sociais e benefícios'!C74/100</f>
        <v>0.93287220315364805</v>
      </c>
    </row>
    <row r="30" spans="1:8">
      <c r="A30" s="217"/>
      <c r="B30" s="217" t="s">
        <v>231</v>
      </c>
      <c r="C30" s="218"/>
      <c r="D30" s="219"/>
      <c r="E30" s="220"/>
      <c r="F30" s="221"/>
      <c r="G30" s="222"/>
      <c r="H30" s="223">
        <v>0</v>
      </c>
    </row>
    <row r="31" spans="1:8">
      <c r="A31" s="224"/>
      <c r="B31" s="224" t="s">
        <v>232</v>
      </c>
      <c r="C31" s="224"/>
      <c r="D31" s="219"/>
      <c r="E31" s="220"/>
      <c r="F31" s="221"/>
      <c r="G31" s="222"/>
      <c r="H31" s="223">
        <v>0</v>
      </c>
    </row>
    <row r="32" spans="1:8">
      <c r="A32" s="224"/>
      <c r="B32" s="224" t="s">
        <v>233</v>
      </c>
      <c r="C32" s="224"/>
      <c r="D32" s="219"/>
      <c r="E32" s="220"/>
      <c r="F32" s="221"/>
      <c r="G32" s="222"/>
      <c r="H32" s="223">
        <v>0</v>
      </c>
    </row>
    <row r="33" spans="1:8">
      <c r="A33" s="224"/>
      <c r="B33" s="224" t="s">
        <v>234</v>
      </c>
      <c r="C33" s="224"/>
      <c r="D33" s="219"/>
      <c r="E33" s="220"/>
      <c r="F33" s="221"/>
      <c r="G33" s="222"/>
      <c r="H33" s="223">
        <v>0</v>
      </c>
    </row>
    <row r="34" spans="1:8">
      <c r="A34" s="225"/>
      <c r="B34" s="225" t="s">
        <v>235</v>
      </c>
      <c r="C34" s="217"/>
      <c r="D34" s="219"/>
      <c r="E34" s="220"/>
      <c r="F34" s="221"/>
      <c r="G34" s="222"/>
      <c r="H34" s="223"/>
    </row>
    <row r="35" spans="1:8">
      <c r="A35" s="217"/>
      <c r="B35" s="217" t="s">
        <v>236</v>
      </c>
      <c r="C35" s="226">
        <v>1.6500000000000001E-2</v>
      </c>
      <c r="D35" s="219"/>
      <c r="E35" s="220"/>
      <c r="F35" s="221"/>
      <c r="G35" s="222"/>
      <c r="H35" s="227"/>
    </row>
    <row r="36" spans="1:8">
      <c r="A36" s="217"/>
      <c r="B36" s="217" t="s">
        <v>237</v>
      </c>
      <c r="C36" s="226">
        <v>7.5999999999999998E-2</v>
      </c>
      <c r="D36" s="219"/>
      <c r="E36" s="220"/>
      <c r="F36" s="221"/>
      <c r="G36" s="222"/>
      <c r="H36" s="227"/>
    </row>
    <row r="37" spans="1:8">
      <c r="A37" s="217"/>
      <c r="B37" s="217" t="s">
        <v>238</v>
      </c>
      <c r="C37" s="226">
        <v>0.05</v>
      </c>
      <c r="D37" s="219"/>
      <c r="E37" s="220"/>
      <c r="F37" s="221"/>
      <c r="G37" s="222"/>
      <c r="H37" s="227"/>
    </row>
    <row r="38" spans="1:8" ht="3" customHeight="1">
      <c r="A38" s="212"/>
      <c r="B38" s="228"/>
      <c r="C38" s="229"/>
      <c r="D38" s="230"/>
      <c r="E38" s="215"/>
      <c r="F38" s="228"/>
      <c r="G38" s="195"/>
      <c r="H38" s="214"/>
    </row>
    <row r="39" spans="1:8">
      <c r="A39" s="231" t="s">
        <v>239</v>
      </c>
      <c r="B39" s="232" t="str">
        <f>B7</f>
        <v>EQUIPE TÉCNICA PERMANENTE - ESCOLA DE PROJETOS</v>
      </c>
      <c r="C39" s="975" t="s">
        <v>240</v>
      </c>
      <c r="D39" s="975"/>
      <c r="E39" s="975"/>
      <c r="F39" s="233"/>
      <c r="G39" s="234"/>
      <c r="H39" s="235">
        <f>(1+H29+H31)*(1+H32)*(1+H33)</f>
        <v>1.932872203153648</v>
      </c>
    </row>
    <row r="40" spans="1:8">
      <c r="A40" s="231" t="s">
        <v>241</v>
      </c>
      <c r="B40" s="232" t="e">
        <f>#REF!</f>
        <v>#REF!</v>
      </c>
      <c r="C40" s="975" t="s">
        <v>242</v>
      </c>
      <c r="D40" s="975"/>
      <c r="E40" s="975"/>
      <c r="F40" s="233"/>
      <c r="G40" s="236"/>
      <c r="H40" s="237">
        <f>(1+H30+H31)*(1+H32)*(1+H33)</f>
        <v>1</v>
      </c>
    </row>
    <row r="41" spans="1:8">
      <c r="A41" s="231" t="s">
        <v>243</v>
      </c>
      <c r="B41" s="232" t="e">
        <f>#REF!</f>
        <v>#REF!</v>
      </c>
      <c r="C41" s="975" t="s">
        <v>244</v>
      </c>
      <c r="D41" s="975"/>
      <c r="E41" s="975"/>
      <c r="F41" s="233"/>
      <c r="G41" s="236"/>
      <c r="H41" s="237">
        <f>(1+H31)*(1+H32)*(1+H33)</f>
        <v>1</v>
      </c>
    </row>
    <row r="42" spans="1:8">
      <c r="A42" s="231" t="s">
        <v>245</v>
      </c>
      <c r="B42" s="232" t="str">
        <f>B17</f>
        <v>DESPESAS DIRETAS</v>
      </c>
      <c r="C42" s="975" t="s">
        <v>246</v>
      </c>
      <c r="D42" s="975"/>
      <c r="E42" s="975"/>
      <c r="F42" s="233"/>
      <c r="G42" s="236"/>
      <c r="H42" s="237">
        <f>(1+H32)*(1+H33)</f>
        <v>1</v>
      </c>
    </row>
    <row r="44" spans="1:8" ht="15" customHeight="1">
      <c r="A44" s="251" t="s">
        <v>247</v>
      </c>
    </row>
    <row r="45" spans="1:8" ht="35.1" customHeight="1">
      <c r="A45" s="238" t="s">
        <v>248</v>
      </c>
      <c r="B45" s="973" t="s">
        <v>343</v>
      </c>
      <c r="C45" s="973"/>
      <c r="D45" s="973"/>
      <c r="E45" s="973"/>
      <c r="F45" s="973"/>
      <c r="G45" s="973"/>
      <c r="H45" s="973"/>
    </row>
    <row r="46" spans="1:8" ht="35.1" customHeight="1">
      <c r="A46" s="238" t="s">
        <v>250</v>
      </c>
      <c r="B46" s="973" t="s">
        <v>344</v>
      </c>
      <c r="C46" s="973"/>
      <c r="D46" s="973"/>
      <c r="E46" s="973"/>
      <c r="F46" s="973"/>
      <c r="G46" s="973"/>
      <c r="H46" s="973"/>
    </row>
    <row r="47" spans="1:8" ht="21.75" customHeight="1">
      <c r="A47" s="238" t="s">
        <v>252</v>
      </c>
      <c r="B47" s="973" t="s">
        <v>253</v>
      </c>
      <c r="C47" s="973"/>
      <c r="D47" s="973"/>
      <c r="E47" s="973"/>
      <c r="F47" s="973"/>
      <c r="G47" s="973"/>
      <c r="H47" s="973"/>
    </row>
    <row r="48" spans="1:8" ht="32.25" customHeight="1">
      <c r="A48" s="238" t="s">
        <v>334</v>
      </c>
      <c r="B48" s="973" t="s">
        <v>335</v>
      </c>
      <c r="C48" s="973"/>
      <c r="D48" s="973"/>
      <c r="E48" s="973"/>
      <c r="F48" s="973"/>
      <c r="G48" s="973"/>
      <c r="H48" s="973"/>
    </row>
    <row r="49" spans="1:9" ht="21.75" customHeight="1">
      <c r="A49" s="238" t="s">
        <v>336</v>
      </c>
      <c r="B49" s="973" t="s">
        <v>337</v>
      </c>
      <c r="C49" s="973"/>
      <c r="D49" s="973"/>
      <c r="E49" s="973"/>
      <c r="F49" s="973"/>
      <c r="G49" s="973"/>
      <c r="H49" s="973"/>
    </row>
    <row r="51" spans="1:9">
      <c r="D51" s="178"/>
    </row>
    <row r="52" spans="1:9">
      <c r="A52" s="178"/>
      <c r="B52" s="178"/>
      <c r="D52" s="178"/>
    </row>
    <row r="53" spans="1:9">
      <c r="D53" s="240"/>
    </row>
    <row r="54" spans="1:9">
      <c r="D54" s="178"/>
    </row>
    <row r="55" spans="1:9">
      <c r="A55" s="241"/>
      <c r="B55" s="239"/>
      <c r="C55" s="177"/>
      <c r="D55" s="178"/>
      <c r="E55" s="177"/>
      <c r="F55" s="177"/>
      <c r="G55" s="177"/>
      <c r="H55" s="177"/>
      <c r="I55" s="180"/>
    </row>
  </sheetData>
  <mergeCells count="22">
    <mergeCell ref="B1:G1"/>
    <mergeCell ref="A5:A6"/>
    <mergeCell ref="B5:B6"/>
    <mergeCell ref="C5:D5"/>
    <mergeCell ref="F5:F6"/>
    <mergeCell ref="G5:G6"/>
    <mergeCell ref="H5:H6"/>
    <mergeCell ref="A15:A16"/>
    <mergeCell ref="B15:B16"/>
    <mergeCell ref="C15:C16"/>
    <mergeCell ref="G15:G16"/>
    <mergeCell ref="H15:H16"/>
    <mergeCell ref="B46:H46"/>
    <mergeCell ref="B47:H47"/>
    <mergeCell ref="B48:H48"/>
    <mergeCell ref="B49:H49"/>
    <mergeCell ref="A27:B27"/>
    <mergeCell ref="C39:E39"/>
    <mergeCell ref="C40:E40"/>
    <mergeCell ref="C41:E41"/>
    <mergeCell ref="C42:E42"/>
    <mergeCell ref="B45:H45"/>
  </mergeCells>
  <printOptions horizontalCentered="1"/>
  <pageMargins left="0.51181102362204722" right="0.51181102362204722" top="0.78740157480314965" bottom="0.78740157480314965" header="0.31496062992125984" footer="0.31496062992125984"/>
  <pageSetup paperSize="9" scale="66" fitToHeight="0" orientation="portrait" r:id="rId1"/>
  <headerFooter>
    <oddFooter>&amp;L&amp;F&amp;C&amp;A&amp;R&amp;P/&amp;N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K72"/>
  <sheetViews>
    <sheetView topLeftCell="A36" workbookViewId="0">
      <selection activeCell="E40" sqref="E40"/>
    </sheetView>
  </sheetViews>
  <sheetFormatPr defaultRowHeight="12.75"/>
  <cols>
    <col min="1" max="1" width="9" style="353"/>
    <col min="2" max="2" width="49.875" style="353" bestFit="1" customWidth="1"/>
    <col min="3" max="3" width="10.5" style="353" bestFit="1" customWidth="1"/>
    <col min="4" max="4" width="10.625" style="353" customWidth="1"/>
    <col min="5" max="5" width="12.625" style="353" customWidth="1"/>
    <col min="6" max="6" width="11.125" style="353" customWidth="1"/>
    <col min="7" max="7" width="12.25" style="353" bestFit="1" customWidth="1"/>
    <col min="8" max="8" width="9.875" style="353" bestFit="1" customWidth="1"/>
    <col min="9" max="12" width="11.125" style="353" customWidth="1"/>
    <col min="13" max="16384" width="9" style="353"/>
  </cols>
  <sheetData>
    <row r="1" spans="1:10" s="343" customFormat="1" ht="39.950000000000003" customHeight="1">
      <c r="A1" s="988" t="s">
        <v>394</v>
      </c>
      <c r="B1" s="988"/>
      <c r="C1" s="988"/>
      <c r="D1" s="988"/>
      <c r="E1" s="988"/>
      <c r="F1" s="988"/>
      <c r="G1" s="988"/>
      <c r="H1" s="988"/>
    </row>
    <row r="2" spans="1:10" ht="15.6" customHeight="1">
      <c r="A2" s="346"/>
      <c r="B2" s="354"/>
      <c r="C2" s="355"/>
      <c r="D2" s="355"/>
      <c r="E2" s="355"/>
      <c r="G2" s="344" t="s">
        <v>210</v>
      </c>
      <c r="H2" s="625">
        <v>44146</v>
      </c>
    </row>
    <row r="3" spans="1:10" ht="9.9499999999999993" customHeight="1">
      <c r="F3" s="356"/>
      <c r="G3" s="357"/>
    </row>
    <row r="4" spans="1:10" ht="15" customHeight="1">
      <c r="A4" s="990" t="s">
        <v>285</v>
      </c>
      <c r="B4" s="991" t="s">
        <v>211</v>
      </c>
      <c r="C4" s="1001" t="s">
        <v>212</v>
      </c>
      <c r="D4" s="1002"/>
      <c r="E4" s="358" t="s">
        <v>213</v>
      </c>
      <c r="F4" s="1003" t="s">
        <v>214</v>
      </c>
      <c r="G4" s="1003" t="s">
        <v>215</v>
      </c>
      <c r="H4" s="1005" t="s">
        <v>216</v>
      </c>
    </row>
    <row r="5" spans="1:10" ht="15" customHeight="1">
      <c r="A5" s="990"/>
      <c r="B5" s="991"/>
      <c r="C5" s="359" t="s">
        <v>217</v>
      </c>
      <c r="D5" s="360" t="s">
        <v>218</v>
      </c>
      <c r="E5" s="361" t="s">
        <v>219</v>
      </c>
      <c r="F5" s="1003"/>
      <c r="G5" s="1004"/>
      <c r="H5" s="1005"/>
    </row>
    <row r="6" spans="1:10" ht="20.100000000000001" customHeight="1">
      <c r="A6" s="362">
        <v>1</v>
      </c>
      <c r="B6" s="363" t="s">
        <v>220</v>
      </c>
      <c r="C6" s="364"/>
      <c r="D6" s="365"/>
      <c r="E6" s="365"/>
      <c r="F6" s="364"/>
      <c r="G6" s="366">
        <f>SUM(G7:G11)</f>
        <v>235941.33657575454</v>
      </c>
      <c r="H6" s="367">
        <f>SUM(H7:H11)</f>
        <v>0.43627237866129903</v>
      </c>
    </row>
    <row r="7" spans="1:10" ht="20.100000000000001" customHeight="1">
      <c r="A7" s="368" t="s">
        <v>221</v>
      </c>
      <c r="B7" s="369" t="s">
        <v>369</v>
      </c>
      <c r="C7" s="370">
        <v>18408.34</v>
      </c>
      <c r="D7" s="371">
        <f>C7/'Dias trabalhados'!$C$15</f>
        <v>110.86244830770467</v>
      </c>
      <c r="E7" s="372">
        <v>208</v>
      </c>
      <c r="F7" s="371">
        <f>D7*E7</f>
        <v>23059.389248002572</v>
      </c>
      <c r="G7" s="371">
        <f>F7*$H$57</f>
        <v>58225.134796723978</v>
      </c>
      <c r="H7" s="373">
        <f>G7/$G$43</f>
        <v>0.10766243179047864</v>
      </c>
    </row>
    <row r="8" spans="1:10" ht="20.100000000000001" customHeight="1">
      <c r="A8" s="368" t="s">
        <v>221</v>
      </c>
      <c r="B8" s="369" t="s">
        <v>382</v>
      </c>
      <c r="C8" s="370">
        <v>9500</v>
      </c>
      <c r="D8" s="371">
        <f>C8/'Dias trabalhados'!$C$15</f>
        <v>57.212831734050674</v>
      </c>
      <c r="E8" s="372">
        <v>480</v>
      </c>
      <c r="F8" s="371">
        <f>D8*E8</f>
        <v>27462.159232344322</v>
      </c>
      <c r="G8" s="371">
        <f>F8*$H$57</f>
        <v>69342.162791707597</v>
      </c>
      <c r="H8" s="373">
        <f>G8/$G$43</f>
        <v>0.12821861036183521</v>
      </c>
      <c r="J8" s="374"/>
    </row>
    <row r="9" spans="1:10" ht="20.100000000000001" customHeight="1">
      <c r="A9" s="368" t="s">
        <v>221</v>
      </c>
      <c r="B9" s="369" t="s">
        <v>381</v>
      </c>
      <c r="C9" s="370">
        <v>4989.91</v>
      </c>
      <c r="D9" s="371">
        <f>C9/'Dias trabalhados'!$C$15</f>
        <v>30.051250652427029</v>
      </c>
      <c r="E9" s="372">
        <v>640</v>
      </c>
      <c r="F9" s="371">
        <f>D9*E9</f>
        <v>19232.800417553299</v>
      </c>
      <c r="G9" s="371">
        <f>F9*$H$57</f>
        <v>48562.968636627316</v>
      </c>
      <c r="H9" s="373">
        <f>G9/$G$43</f>
        <v>8.9796396635877213E-2</v>
      </c>
    </row>
    <row r="10" spans="1:10" ht="20.100000000000001" customHeight="1">
      <c r="A10" s="368" t="s">
        <v>221</v>
      </c>
      <c r="B10" s="369" t="s">
        <v>381</v>
      </c>
      <c r="C10" s="370">
        <v>4989.91</v>
      </c>
      <c r="D10" s="371">
        <f>C10/'Dias trabalhados'!$C$15</f>
        <v>30.051250652427029</v>
      </c>
      <c r="E10" s="372">
        <v>560</v>
      </c>
      <c r="F10" s="371">
        <f>D10*E10</f>
        <v>16828.700365359138</v>
      </c>
      <c r="G10" s="371">
        <f>F10*$H$57</f>
        <v>42492.59755704891</v>
      </c>
      <c r="H10" s="373">
        <f>G10/$G$43</f>
        <v>7.8571847056392571E-2</v>
      </c>
    </row>
    <row r="11" spans="1:10" ht="20.100000000000001" customHeight="1">
      <c r="A11" s="368" t="s">
        <v>221</v>
      </c>
      <c r="B11" s="369" t="s">
        <v>365</v>
      </c>
      <c r="C11" s="370">
        <v>2033.71</v>
      </c>
      <c r="D11" s="371">
        <f>C11/'Dias trabalhados'!$C$15</f>
        <v>12.247821897458547</v>
      </c>
      <c r="E11" s="372">
        <v>560</v>
      </c>
      <c r="F11" s="371">
        <f>D11*E11</f>
        <v>6858.7802625767863</v>
      </c>
      <c r="G11" s="371">
        <f>F11*$H$57</f>
        <v>17318.472793646764</v>
      </c>
      <c r="H11" s="373">
        <f>G11/$G$43</f>
        <v>3.2023092816715358E-2</v>
      </c>
    </row>
    <row r="12" spans="1:10" ht="6" customHeight="1">
      <c r="A12" s="368"/>
      <c r="B12" s="375"/>
      <c r="C12" s="370"/>
      <c r="D12" s="368"/>
      <c r="E12" s="370"/>
      <c r="F12" s="371"/>
      <c r="G12" s="376"/>
      <c r="H12" s="377"/>
      <c r="I12" s="378"/>
    </row>
    <row r="13" spans="1:10" ht="15" customHeight="1">
      <c r="A13" s="990" t="s">
        <v>285</v>
      </c>
      <c r="B13" s="991" t="s">
        <v>211</v>
      </c>
      <c r="C13" s="1005" t="s">
        <v>212</v>
      </c>
      <c r="D13" s="1005"/>
      <c r="E13" s="379" t="s">
        <v>213</v>
      </c>
      <c r="F13" s="997" t="s">
        <v>214</v>
      </c>
      <c r="G13" s="997" t="s">
        <v>222</v>
      </c>
      <c r="H13" s="1005" t="s">
        <v>216</v>
      </c>
    </row>
    <row r="14" spans="1:10" ht="15" customHeight="1">
      <c r="A14" s="990"/>
      <c r="B14" s="991"/>
      <c r="C14" s="379" t="s">
        <v>217</v>
      </c>
      <c r="D14" s="380" t="s">
        <v>218</v>
      </c>
      <c r="E14" s="379" t="s">
        <v>219</v>
      </c>
      <c r="F14" s="997"/>
      <c r="G14" s="996"/>
      <c r="H14" s="1005"/>
    </row>
    <row r="15" spans="1:10" ht="20.100000000000001" customHeight="1">
      <c r="A15" s="362">
        <v>2</v>
      </c>
      <c r="B15" s="363" t="s">
        <v>223</v>
      </c>
      <c r="C15" s="364"/>
      <c r="D15" s="365"/>
      <c r="E15" s="365"/>
      <c r="F15" s="364"/>
      <c r="G15" s="366">
        <f>SUM(G16:G19)</f>
        <v>72270.347869007514</v>
      </c>
      <c r="H15" s="367">
        <f>SUM(H16:H19)</f>
        <v>0.13363303365609333</v>
      </c>
    </row>
    <row r="16" spans="1:10" ht="20.100000000000001" customHeight="1">
      <c r="A16" s="368" t="s">
        <v>221</v>
      </c>
      <c r="B16" s="369" t="s">
        <v>383</v>
      </c>
      <c r="C16" s="370">
        <v>11289.32</v>
      </c>
      <c r="D16" s="371">
        <f>C16/'Dias trabalhados'!$C$15</f>
        <v>67.988838479142416</v>
      </c>
      <c r="E16" s="382">
        <v>200</v>
      </c>
      <c r="F16" s="371">
        <f>D16*E16</f>
        <v>13597.767695828483</v>
      </c>
      <c r="G16" s="371">
        <f>F16*$H$58</f>
        <v>23677.813344863138</v>
      </c>
      <c r="H16" s="373">
        <f>G16/$G$43</f>
        <v>4.3781967583052181E-2</v>
      </c>
    </row>
    <row r="17" spans="1:10" ht="20.100000000000001" customHeight="1">
      <c r="A17" s="368" t="s">
        <v>221</v>
      </c>
      <c r="B17" s="369" t="s">
        <v>384</v>
      </c>
      <c r="C17" s="370">
        <v>11289.32</v>
      </c>
      <c r="D17" s="371">
        <f>C17/'Dias trabalhados'!$C$15</f>
        <v>67.988838479142416</v>
      </c>
      <c r="E17" s="382">
        <v>200</v>
      </c>
      <c r="F17" s="371">
        <f>D17*E17</f>
        <v>13597.767695828483</v>
      </c>
      <c r="G17" s="371">
        <f>F17*$H$58</f>
        <v>23677.813344863138</v>
      </c>
      <c r="H17" s="373">
        <f>G17/$G$43</f>
        <v>4.3781967583052181E-2</v>
      </c>
    </row>
    <row r="18" spans="1:10" ht="20.100000000000001" customHeight="1">
      <c r="A18" s="368" t="s">
        <v>221</v>
      </c>
      <c r="B18" s="369" t="s">
        <v>385</v>
      </c>
      <c r="C18" s="370">
        <v>18408.34</v>
      </c>
      <c r="D18" s="371">
        <f>C18/'Dias trabalhados'!$C$15</f>
        <v>110.86244830770467</v>
      </c>
      <c r="E18" s="382">
        <v>80</v>
      </c>
      <c r="F18" s="371">
        <f>D18*E18</f>
        <v>8868.9958646163741</v>
      </c>
      <c r="G18" s="371">
        <f>F18*$H$58</f>
        <v>15443.595841335986</v>
      </c>
      <c r="H18" s="373">
        <f>G18/$G$43</f>
        <v>2.855631145676809E-2</v>
      </c>
      <c r="J18" s="374"/>
    </row>
    <row r="19" spans="1:10" ht="20.100000000000001" customHeight="1">
      <c r="A19" s="368" t="s">
        <v>221</v>
      </c>
      <c r="B19" s="369" t="s">
        <v>386</v>
      </c>
      <c r="C19" s="370">
        <v>11289.32</v>
      </c>
      <c r="D19" s="371">
        <f>C19/'Dias trabalhados'!$C$15</f>
        <v>67.988838479142416</v>
      </c>
      <c r="E19" s="382">
        <v>80</v>
      </c>
      <c r="F19" s="371">
        <f>D19*E19</f>
        <v>5439.1070783313935</v>
      </c>
      <c r="G19" s="371">
        <f>F19*$H$58</f>
        <v>9471.1253379452555</v>
      </c>
      <c r="H19" s="373">
        <f>G19/$G$43</f>
        <v>1.7512787033220872E-2</v>
      </c>
      <c r="J19" s="374"/>
    </row>
    <row r="20" spans="1:10" ht="6" customHeight="1">
      <c r="A20" s="347"/>
      <c r="B20" s="348"/>
      <c r="C20" s="370"/>
      <c r="D20" s="383"/>
      <c r="E20" s="382"/>
      <c r="F20" s="370"/>
      <c r="G20" s="370"/>
      <c r="H20" s="373"/>
    </row>
    <row r="21" spans="1:10" ht="15" customHeight="1">
      <c r="A21" s="990" t="s">
        <v>285</v>
      </c>
      <c r="B21" s="995" t="s">
        <v>211</v>
      </c>
      <c r="C21" s="996" t="s">
        <v>224</v>
      </c>
      <c r="D21" s="384" t="s">
        <v>170</v>
      </c>
      <c r="E21" s="385" t="s">
        <v>169</v>
      </c>
      <c r="F21" s="384" t="s">
        <v>225</v>
      </c>
      <c r="G21" s="997" t="s">
        <v>226</v>
      </c>
      <c r="H21" s="998" t="s">
        <v>216</v>
      </c>
    </row>
    <row r="22" spans="1:10" ht="15" customHeight="1">
      <c r="A22" s="990"/>
      <c r="B22" s="995"/>
      <c r="C22" s="996"/>
      <c r="D22" s="386" t="s">
        <v>63</v>
      </c>
      <c r="E22" s="386" t="s">
        <v>173</v>
      </c>
      <c r="F22" s="387" t="s">
        <v>173</v>
      </c>
      <c r="G22" s="996"/>
      <c r="H22" s="998"/>
    </row>
    <row r="23" spans="1:10" ht="20.100000000000001" customHeight="1">
      <c r="A23" s="362">
        <v>3</v>
      </c>
      <c r="B23" s="363" t="s">
        <v>393</v>
      </c>
      <c r="C23" s="364"/>
      <c r="D23" s="365"/>
      <c r="E23" s="365"/>
      <c r="F23" s="364"/>
      <c r="G23" s="366">
        <f>G24+G28</f>
        <v>210769.92979588665</v>
      </c>
      <c r="H23" s="367">
        <f>H24+H28</f>
        <v>0.38972865016725355</v>
      </c>
    </row>
    <row r="24" spans="1:10" ht="20.100000000000001" customHeight="1">
      <c r="A24" s="388"/>
      <c r="B24" s="389" t="s">
        <v>366</v>
      </c>
      <c r="C24" s="390"/>
      <c r="D24" s="388"/>
      <c r="E24" s="391"/>
      <c r="F24" s="392"/>
      <c r="G24" s="393">
        <f>G25+G26</f>
        <v>36017.579569880822</v>
      </c>
      <c r="H24" s="394">
        <f>SUM(H25:H26)</f>
        <v>6.6599076451062361E-2</v>
      </c>
    </row>
    <row r="25" spans="1:10" ht="20.100000000000001" customHeight="1">
      <c r="A25" s="368" t="s">
        <v>377</v>
      </c>
      <c r="B25" s="369" t="s">
        <v>370</v>
      </c>
      <c r="C25" s="371" t="s">
        <v>378</v>
      </c>
      <c r="D25" s="371">
        <v>12</v>
      </c>
      <c r="E25" s="371">
        <v>744.81</v>
      </c>
      <c r="F25" s="371">
        <f t="shared" ref="F25:F32" si="0">D25*E25</f>
        <v>8937.7199999999993</v>
      </c>
      <c r="G25" s="371">
        <f>F25*$H$59</f>
        <v>13296.054955835336</v>
      </c>
      <c r="H25" s="373">
        <f>G25/$G$43</f>
        <v>2.4585355014852102E-2</v>
      </c>
    </row>
    <row r="26" spans="1:10" ht="20.100000000000001" customHeight="1">
      <c r="A26" s="395" t="s">
        <v>377</v>
      </c>
      <c r="B26" s="369" t="s">
        <v>371</v>
      </c>
      <c r="C26" s="371" t="s">
        <v>273</v>
      </c>
      <c r="D26" s="371">
        <v>172</v>
      </c>
      <c r="E26" s="371">
        <v>88.8</v>
      </c>
      <c r="F26" s="371">
        <f t="shared" si="0"/>
        <v>15273.6</v>
      </c>
      <c r="G26" s="371">
        <f>F26*$H$59</f>
        <v>22721.524614045484</v>
      </c>
      <c r="H26" s="373">
        <f>G26/$G$43</f>
        <v>4.2013721436210252E-2</v>
      </c>
    </row>
    <row r="27" spans="1:10" ht="5.0999999999999996" customHeight="1">
      <c r="A27" s="395"/>
      <c r="B27" s="369"/>
      <c r="C27" s="371"/>
      <c r="D27" s="371"/>
      <c r="E27" s="371"/>
      <c r="F27" s="371"/>
      <c r="G27" s="371"/>
      <c r="H27" s="373"/>
    </row>
    <row r="28" spans="1:10" ht="20.100000000000001" customHeight="1">
      <c r="A28" s="388"/>
      <c r="B28" s="389" t="s">
        <v>367</v>
      </c>
      <c r="C28" s="390"/>
      <c r="D28" s="388"/>
      <c r="E28" s="391"/>
      <c r="F28" s="392"/>
      <c r="G28" s="393">
        <f>SUM(G29:G32)</f>
        <v>174752.35022600583</v>
      </c>
      <c r="H28" s="394">
        <f>SUM(H29:H32)</f>
        <v>0.32312957371619117</v>
      </c>
    </row>
    <row r="29" spans="1:10" ht="29.25" customHeight="1">
      <c r="A29" s="397" t="s">
        <v>376</v>
      </c>
      <c r="B29" s="369" t="s">
        <v>372</v>
      </c>
      <c r="C29" s="371" t="s">
        <v>379</v>
      </c>
      <c r="D29" s="371">
        <v>1</v>
      </c>
      <c r="E29" s="371">
        <v>980</v>
      </c>
      <c r="F29" s="371">
        <f t="shared" si="0"/>
        <v>980</v>
      </c>
      <c r="G29" s="371">
        <f>F29*$H$59</f>
        <v>1457.8811885714288</v>
      </c>
      <c r="H29" s="373">
        <f>G29/$G$43</f>
        <v>2.6957264173139302E-3</v>
      </c>
    </row>
    <row r="30" spans="1:10" ht="50.25" customHeight="1">
      <c r="A30" s="397" t="s">
        <v>376</v>
      </c>
      <c r="B30" s="398" t="s">
        <v>373</v>
      </c>
      <c r="C30" s="371" t="s">
        <v>380</v>
      </c>
      <c r="D30" s="371">
        <v>30</v>
      </c>
      <c r="E30" s="371">
        <v>3045</v>
      </c>
      <c r="F30" s="371">
        <f t="shared" si="0"/>
        <v>91350</v>
      </c>
      <c r="G30" s="371">
        <f t="shared" ref="G30:G32" si="1">F30*$H$59</f>
        <v>135895.3536489796</v>
      </c>
      <c r="H30" s="373">
        <f>G30/$G$43</f>
        <v>0.25128021247104848</v>
      </c>
    </row>
    <row r="31" spans="1:10" ht="33.75" customHeight="1">
      <c r="A31" s="397" t="s">
        <v>376</v>
      </c>
      <c r="B31" s="398" t="s">
        <v>374</v>
      </c>
      <c r="C31" s="371" t="s">
        <v>380</v>
      </c>
      <c r="D31" s="371">
        <f>D30</f>
        <v>30</v>
      </c>
      <c r="E31" s="371">
        <v>330</v>
      </c>
      <c r="F31" s="371">
        <f t="shared" si="0"/>
        <v>9900</v>
      </c>
      <c r="G31" s="371">
        <f t="shared" si="1"/>
        <v>14727.575272303209</v>
      </c>
      <c r="H31" s="373">
        <f>G31/$G$43</f>
        <v>2.723233829735501E-2</v>
      </c>
    </row>
    <row r="32" spans="1:10" ht="30" customHeight="1">
      <c r="A32" s="397" t="s">
        <v>376</v>
      </c>
      <c r="B32" s="369" t="s">
        <v>375</v>
      </c>
      <c r="C32" s="371" t="s">
        <v>364</v>
      </c>
      <c r="D32" s="371">
        <v>60</v>
      </c>
      <c r="E32" s="371">
        <v>254</v>
      </c>
      <c r="F32" s="371">
        <f t="shared" si="0"/>
        <v>15240</v>
      </c>
      <c r="G32" s="371">
        <f t="shared" si="1"/>
        <v>22671.540116151606</v>
      </c>
      <c r="H32" s="373">
        <f>G32/$G$43</f>
        <v>4.1921296530473773E-2</v>
      </c>
    </row>
    <row r="33" spans="1:8" ht="6" customHeight="1">
      <c r="A33" s="347"/>
      <c r="B33" s="348"/>
      <c r="C33" s="370"/>
      <c r="D33" s="399"/>
      <c r="E33" s="400"/>
      <c r="F33" s="401"/>
      <c r="G33" s="370"/>
      <c r="H33" s="373">
        <f>G33/$G$43</f>
        <v>0</v>
      </c>
    </row>
    <row r="34" spans="1:8" ht="15" customHeight="1">
      <c r="A34" s="990" t="s">
        <v>285</v>
      </c>
      <c r="B34" s="995" t="s">
        <v>211</v>
      </c>
      <c r="C34" s="996" t="s">
        <v>224</v>
      </c>
      <c r="D34" s="384" t="s">
        <v>170</v>
      </c>
      <c r="E34" s="385" t="s">
        <v>169</v>
      </c>
      <c r="F34" s="384" t="s">
        <v>225</v>
      </c>
      <c r="G34" s="997" t="s">
        <v>226</v>
      </c>
      <c r="H34" s="998" t="s">
        <v>216</v>
      </c>
    </row>
    <row r="35" spans="1:8" ht="15" customHeight="1">
      <c r="A35" s="990"/>
      <c r="B35" s="995"/>
      <c r="C35" s="996"/>
      <c r="D35" s="386" t="s">
        <v>63</v>
      </c>
      <c r="E35" s="386" t="s">
        <v>173</v>
      </c>
      <c r="F35" s="387" t="s">
        <v>173</v>
      </c>
      <c r="G35" s="996"/>
      <c r="H35" s="998"/>
    </row>
    <row r="36" spans="1:8" ht="20.100000000000001" customHeight="1">
      <c r="A36" s="362">
        <v>4</v>
      </c>
      <c r="B36" s="363" t="s">
        <v>227</v>
      </c>
      <c r="C36" s="364"/>
      <c r="D36" s="365"/>
      <c r="E36" s="365"/>
      <c r="F36" s="364"/>
      <c r="G36" s="366">
        <f>SUM(G37:G42)</f>
        <v>21830.383300291542</v>
      </c>
      <c r="H36" s="367">
        <f>SUM(H37:H42)</f>
        <v>4.0365937515354312E-2</v>
      </c>
    </row>
    <row r="37" spans="1:8" ht="20.100000000000001" customHeight="1">
      <c r="A37" s="368"/>
      <c r="B37" s="402" t="s">
        <v>387</v>
      </c>
      <c r="C37" s="403" t="s">
        <v>391</v>
      </c>
      <c r="D37" s="396">
        <v>20</v>
      </c>
      <c r="E37" s="395">
        <v>441</v>
      </c>
      <c r="F37" s="371">
        <f t="shared" ref="F37:F42" si="2">D37*E37</f>
        <v>8820</v>
      </c>
      <c r="G37" s="371">
        <f>F37*$H$60</f>
        <v>11186.742857142855</v>
      </c>
      <c r="H37" s="373">
        <f t="shared" ref="H37:H42" si="3">G37/$G$43</f>
        <v>2.0685086329461477E-2</v>
      </c>
    </row>
    <row r="38" spans="1:8" ht="20.100000000000001" customHeight="1">
      <c r="A38" s="368"/>
      <c r="B38" s="404" t="s">
        <v>388</v>
      </c>
      <c r="C38" s="395" t="s">
        <v>284</v>
      </c>
      <c r="D38" s="396">
        <v>60</v>
      </c>
      <c r="E38" s="395">
        <v>5</v>
      </c>
      <c r="F38" s="371">
        <f t="shared" si="2"/>
        <v>300</v>
      </c>
      <c r="G38" s="371">
        <f t="shared" ref="G38:G42" si="4">F38*$H$60</f>
        <v>380.50145772594749</v>
      </c>
      <c r="H38" s="373">
        <f t="shared" si="3"/>
        <v>7.035743649476693E-4</v>
      </c>
    </row>
    <row r="39" spans="1:8" ht="20.100000000000001" customHeight="1">
      <c r="A39" s="368"/>
      <c r="B39" s="404" t="s">
        <v>389</v>
      </c>
      <c r="C39" s="395" t="s">
        <v>63</v>
      </c>
      <c r="D39" s="396">
        <v>2300</v>
      </c>
      <c r="E39" s="395">
        <v>0.3</v>
      </c>
      <c r="F39" s="371">
        <f t="shared" si="2"/>
        <v>690</v>
      </c>
      <c r="G39" s="371">
        <f t="shared" si="4"/>
        <v>875.15335276967915</v>
      </c>
      <c r="H39" s="373">
        <f t="shared" si="3"/>
        <v>1.6182210393796393E-3</v>
      </c>
    </row>
    <row r="40" spans="1:8" ht="20.100000000000001" customHeight="1">
      <c r="A40" s="368"/>
      <c r="B40" s="404" t="s">
        <v>390</v>
      </c>
      <c r="C40" s="395" t="s">
        <v>63</v>
      </c>
      <c r="D40" s="396">
        <v>12</v>
      </c>
      <c r="E40" s="395">
        <v>18.899999999999999</v>
      </c>
      <c r="F40" s="371">
        <f t="shared" si="2"/>
        <v>226.79999999999998</v>
      </c>
      <c r="G40" s="371">
        <f t="shared" si="4"/>
        <v>287.65910204081626</v>
      </c>
      <c r="H40" s="373">
        <f t="shared" si="3"/>
        <v>5.3190221990043792E-4</v>
      </c>
    </row>
    <row r="41" spans="1:8" ht="20.100000000000001" customHeight="1">
      <c r="A41" s="368"/>
      <c r="B41" s="404" t="s">
        <v>368</v>
      </c>
      <c r="C41" s="395" t="s">
        <v>63</v>
      </c>
      <c r="D41" s="396">
        <v>0</v>
      </c>
      <c r="E41" s="395">
        <v>30</v>
      </c>
      <c r="F41" s="371">
        <f t="shared" si="2"/>
        <v>0</v>
      </c>
      <c r="G41" s="371">
        <f t="shared" si="4"/>
        <v>0</v>
      </c>
      <c r="H41" s="373">
        <f t="shared" si="3"/>
        <v>0</v>
      </c>
    </row>
    <row r="42" spans="1:8" ht="20.100000000000001" customHeight="1">
      <c r="A42" s="368"/>
      <c r="B42" s="404" t="s">
        <v>283</v>
      </c>
      <c r="C42" s="395" t="s">
        <v>392</v>
      </c>
      <c r="D42" s="396">
        <v>35</v>
      </c>
      <c r="E42" s="395">
        <v>205</v>
      </c>
      <c r="F42" s="371">
        <f t="shared" si="2"/>
        <v>7175</v>
      </c>
      <c r="G42" s="371">
        <f t="shared" si="4"/>
        <v>9100.326530612243</v>
      </c>
      <c r="H42" s="373">
        <f t="shared" si="3"/>
        <v>1.682715356166509E-2</v>
      </c>
    </row>
    <row r="43" spans="1:8" ht="20.100000000000001" customHeight="1">
      <c r="A43" s="405"/>
      <c r="B43" s="405" t="s">
        <v>228</v>
      </c>
      <c r="C43" s="405"/>
      <c r="D43" s="405"/>
      <c r="E43" s="406"/>
      <c r="F43" s="407"/>
      <c r="G43" s="408">
        <f>G6+G15+G23+G36</f>
        <v>540811.99754094018</v>
      </c>
      <c r="H43" s="409">
        <f>H6+H15+H24+H36</f>
        <v>0.676870426283809</v>
      </c>
    </row>
    <row r="44" spans="1:8" ht="6" customHeight="1">
      <c r="A44" s="410"/>
      <c r="B44" s="410"/>
      <c r="C44" s="410"/>
      <c r="D44" s="410"/>
      <c r="E44" s="410"/>
      <c r="F44" s="410"/>
      <c r="G44" s="410"/>
      <c r="H44" s="410"/>
    </row>
    <row r="45" spans="1:8" ht="20.100000000000001" customHeight="1">
      <c r="A45" s="993" t="s">
        <v>229</v>
      </c>
      <c r="B45" s="993"/>
      <c r="C45" s="411"/>
      <c r="D45" s="411"/>
      <c r="E45" s="411"/>
      <c r="F45" s="411"/>
      <c r="G45" s="411"/>
      <c r="H45" s="411"/>
    </row>
    <row r="46" spans="1:8" ht="3" customHeight="1">
      <c r="A46" s="412"/>
      <c r="B46" s="413"/>
      <c r="C46" s="412"/>
      <c r="D46" s="414"/>
      <c r="E46" s="415"/>
      <c r="F46" s="416"/>
      <c r="G46" s="370"/>
      <c r="H46" s="370"/>
    </row>
    <row r="47" spans="1:8">
      <c r="A47" s="417"/>
      <c r="B47" s="417" t="s">
        <v>230</v>
      </c>
      <c r="C47" s="418"/>
      <c r="D47" s="419"/>
      <c r="E47" s="420"/>
      <c r="F47" s="421"/>
      <c r="G47" s="422"/>
      <c r="H47" s="423">
        <v>0.81789999999999996</v>
      </c>
    </row>
    <row r="48" spans="1:8">
      <c r="A48" s="417"/>
      <c r="B48" s="417" t="s">
        <v>231</v>
      </c>
      <c r="C48" s="418"/>
      <c r="D48" s="419"/>
      <c r="E48" s="420"/>
      <c r="F48" s="421"/>
      <c r="G48" s="422"/>
      <c r="H48" s="423">
        <v>0.2</v>
      </c>
    </row>
    <row r="49" spans="1:8">
      <c r="A49" s="424"/>
      <c r="B49" s="424" t="s">
        <v>232</v>
      </c>
      <c r="C49" s="424"/>
      <c r="D49" s="419"/>
      <c r="E49" s="420"/>
      <c r="F49" s="421"/>
      <c r="G49" s="422"/>
      <c r="H49" s="423">
        <v>0.1729</v>
      </c>
    </row>
    <row r="50" spans="1:8">
      <c r="A50" s="424"/>
      <c r="B50" s="424" t="s">
        <v>233</v>
      </c>
      <c r="C50" s="424"/>
      <c r="D50" s="419"/>
      <c r="E50" s="420"/>
      <c r="F50" s="421"/>
      <c r="G50" s="422"/>
      <c r="H50" s="423">
        <v>8.7599999999999997E-2</v>
      </c>
    </row>
    <row r="51" spans="1:8">
      <c r="A51" s="424"/>
      <c r="B51" s="424" t="s">
        <v>234</v>
      </c>
      <c r="C51" s="424"/>
      <c r="D51" s="419"/>
      <c r="E51" s="420"/>
      <c r="F51" s="421"/>
      <c r="G51" s="422"/>
      <c r="H51" s="423">
        <f>(1/(1-(C53+C54+C55)))-1</f>
        <v>0.16618075801749277</v>
      </c>
    </row>
    <row r="52" spans="1:8">
      <c r="A52" s="425"/>
      <c r="B52" s="425" t="s">
        <v>235</v>
      </c>
      <c r="C52" s="417"/>
      <c r="D52" s="419"/>
      <c r="E52" s="420"/>
      <c r="F52" s="421"/>
      <c r="G52" s="422"/>
      <c r="H52" s="423"/>
    </row>
    <row r="53" spans="1:8">
      <c r="A53" s="417"/>
      <c r="B53" s="417" t="s">
        <v>236</v>
      </c>
      <c r="C53" s="426">
        <v>1.6500000000000001E-2</v>
      </c>
      <c r="D53" s="419"/>
      <c r="E53" s="420"/>
      <c r="F53" s="421"/>
      <c r="G53" s="422"/>
      <c r="H53" s="427"/>
    </row>
    <row r="54" spans="1:8">
      <c r="A54" s="417"/>
      <c r="B54" s="417" t="s">
        <v>237</v>
      </c>
      <c r="C54" s="426">
        <v>7.5999999999999998E-2</v>
      </c>
      <c r="D54" s="419"/>
      <c r="E54" s="420"/>
      <c r="F54" s="421"/>
      <c r="G54" s="422"/>
      <c r="H54" s="427"/>
    </row>
    <row r="55" spans="1:8">
      <c r="A55" s="417"/>
      <c r="B55" s="417" t="s">
        <v>238</v>
      </c>
      <c r="C55" s="426">
        <v>0.05</v>
      </c>
      <c r="D55" s="419"/>
      <c r="E55" s="420"/>
      <c r="F55" s="421"/>
      <c r="G55" s="422"/>
      <c r="H55" s="427"/>
    </row>
    <row r="56" spans="1:8" ht="3" customHeight="1">
      <c r="A56" s="412"/>
      <c r="B56" s="428"/>
      <c r="C56" s="429"/>
      <c r="D56" s="430"/>
      <c r="E56" s="415"/>
      <c r="F56" s="428"/>
      <c r="G56" s="370"/>
      <c r="H56" s="414"/>
    </row>
    <row r="57" spans="1:8">
      <c r="A57" s="431" t="s">
        <v>239</v>
      </c>
      <c r="B57" s="432" t="str">
        <f>B6</f>
        <v>EQUIPE TÉCNICA PERMANENTE</v>
      </c>
      <c r="C57" s="994" t="s">
        <v>240</v>
      </c>
      <c r="D57" s="994"/>
      <c r="E57" s="994"/>
      <c r="F57" s="433"/>
      <c r="G57" s="434"/>
      <c r="H57" s="435">
        <f>(1+H47+H49)*(1+H50)*(1+H51)</f>
        <v>2.5250076734693874</v>
      </c>
    </row>
    <row r="58" spans="1:8">
      <c r="A58" s="431" t="s">
        <v>241</v>
      </c>
      <c r="B58" s="432" t="str">
        <f>B15</f>
        <v>EQUIPE TÉCNICA DE CONSULTORES</v>
      </c>
      <c r="C58" s="994" t="s">
        <v>242</v>
      </c>
      <c r="D58" s="994"/>
      <c r="E58" s="994"/>
      <c r="F58" s="433"/>
      <c r="G58" s="436"/>
      <c r="H58" s="437">
        <f>(1+H48+H49)*(1+H50)*(1+H51)</f>
        <v>1.7413015043731779</v>
      </c>
    </row>
    <row r="59" spans="1:8">
      <c r="A59" s="431" t="s">
        <v>243</v>
      </c>
      <c r="B59" s="432" t="str">
        <f>B23</f>
        <v>SERVIÇO DE APOIO TÉCNICO</v>
      </c>
      <c r="C59" s="994" t="s">
        <v>244</v>
      </c>
      <c r="D59" s="994"/>
      <c r="E59" s="994"/>
      <c r="F59" s="433"/>
      <c r="G59" s="436"/>
      <c r="H59" s="437">
        <f>(1+H49)*(1+H50)*(1+H51)</f>
        <v>1.487633865889213</v>
      </c>
    </row>
    <row r="60" spans="1:8">
      <c r="A60" s="431" t="s">
        <v>245</v>
      </c>
      <c r="B60" s="432" t="str">
        <f>B36</f>
        <v>DESPESAS DIRETAS</v>
      </c>
      <c r="C60" s="994" t="s">
        <v>246</v>
      </c>
      <c r="D60" s="994"/>
      <c r="E60" s="994"/>
      <c r="F60" s="433"/>
      <c r="G60" s="436"/>
      <c r="H60" s="437">
        <f>(1+H50)*(1+H51)</f>
        <v>1.2683381924198249</v>
      </c>
    </row>
    <row r="61" spans="1:8" ht="15" customHeight="1">
      <c r="A61" s="346" t="s">
        <v>247</v>
      </c>
    </row>
    <row r="62" spans="1:8" ht="30" customHeight="1">
      <c r="A62" s="349" t="s">
        <v>248</v>
      </c>
      <c r="B62" s="992" t="s">
        <v>249</v>
      </c>
      <c r="C62" s="992"/>
      <c r="D62" s="992"/>
      <c r="E62" s="992"/>
      <c r="F62" s="992"/>
      <c r="G62" s="992"/>
      <c r="H62" s="350"/>
    </row>
    <row r="63" spans="1:8" ht="30" customHeight="1">
      <c r="A63" s="349" t="s">
        <v>250</v>
      </c>
      <c r="B63" s="992" t="s">
        <v>251</v>
      </c>
      <c r="C63" s="992"/>
      <c r="D63" s="992"/>
      <c r="E63" s="992"/>
      <c r="F63" s="992"/>
      <c r="G63" s="992"/>
      <c r="H63" s="350"/>
    </row>
    <row r="64" spans="1:8" ht="14.25" customHeight="1">
      <c r="A64" s="349" t="s">
        <v>252</v>
      </c>
      <c r="B64" s="992" t="s">
        <v>253</v>
      </c>
      <c r="C64" s="992"/>
      <c r="D64" s="992"/>
      <c r="E64" s="992"/>
      <c r="F64" s="992"/>
      <c r="G64" s="992"/>
      <c r="H64" s="350"/>
    </row>
    <row r="65" spans="1:11" ht="9.9499999999999993" customHeight="1">
      <c r="A65" s="351"/>
      <c r="B65" s="351"/>
      <c r="C65" s="351"/>
      <c r="D65" s="351"/>
      <c r="E65" s="351"/>
      <c r="F65" s="351"/>
      <c r="G65" s="351"/>
      <c r="H65" s="351"/>
      <c r="J65" s="438"/>
      <c r="K65" s="438"/>
    </row>
    <row r="68" spans="1:11">
      <c r="D68" s="439"/>
    </row>
    <row r="69" spans="1:11">
      <c r="A69" s="439"/>
      <c r="B69" s="439"/>
      <c r="D69" s="439"/>
    </row>
    <row r="70" spans="1:11">
      <c r="D70" s="352"/>
    </row>
    <row r="71" spans="1:11">
      <c r="D71" s="439"/>
    </row>
    <row r="72" spans="1:11">
      <c r="A72" s="440"/>
      <c r="B72" s="351"/>
      <c r="C72" s="357"/>
      <c r="D72" s="439"/>
      <c r="E72" s="357"/>
      <c r="F72" s="357"/>
      <c r="G72" s="357"/>
      <c r="H72" s="357"/>
      <c r="I72" s="354"/>
    </row>
  </sheetData>
  <mergeCells count="31">
    <mergeCell ref="H13:H14"/>
    <mergeCell ref="A1:H1"/>
    <mergeCell ref="A4:A5"/>
    <mergeCell ref="B4:B5"/>
    <mergeCell ref="C4:D4"/>
    <mergeCell ref="F4:F5"/>
    <mergeCell ref="G4:G5"/>
    <mergeCell ref="H4:H5"/>
    <mergeCell ref="A13:A14"/>
    <mergeCell ref="B13:B14"/>
    <mergeCell ref="C13:D13"/>
    <mergeCell ref="F13:F14"/>
    <mergeCell ref="G13:G14"/>
    <mergeCell ref="A34:A35"/>
    <mergeCell ref="B34:B35"/>
    <mergeCell ref="C34:C35"/>
    <mergeCell ref="G34:G35"/>
    <mergeCell ref="H34:H35"/>
    <mergeCell ref="A21:A22"/>
    <mergeCell ref="B21:B22"/>
    <mergeCell ref="C21:C22"/>
    <mergeCell ref="G21:G22"/>
    <mergeCell ref="H21:H22"/>
    <mergeCell ref="B63:G63"/>
    <mergeCell ref="B64:G64"/>
    <mergeCell ref="A45:B45"/>
    <mergeCell ref="C57:E57"/>
    <mergeCell ref="C58:E58"/>
    <mergeCell ref="C59:E59"/>
    <mergeCell ref="C60:E60"/>
    <mergeCell ref="B62:G62"/>
  </mergeCells>
  <printOptions horizontalCentered="1"/>
  <pageMargins left="0.51181102362204722" right="0.51181102362204722" top="0.78740157480314965" bottom="0.78740157480314965" header="0.31496062992125984" footer="0.31496062992125984"/>
  <pageSetup paperSize="9" scale="66" fitToHeight="0" orientation="portrait" r:id="rId1"/>
  <headerFooter>
    <oddFooter>&amp;L&amp;F&amp;C&amp;A&amp;R&amp;P/&amp;N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K66"/>
  <sheetViews>
    <sheetView workbookViewId="0">
      <selection activeCell="E40" sqref="E40"/>
    </sheetView>
  </sheetViews>
  <sheetFormatPr defaultRowHeight="12.75"/>
  <cols>
    <col min="1" max="1" width="9" style="353"/>
    <col min="2" max="2" width="49.875" style="353" bestFit="1" customWidth="1"/>
    <col min="3" max="3" width="10.5" style="353" bestFit="1" customWidth="1"/>
    <col min="4" max="4" width="10.625" style="353" customWidth="1"/>
    <col min="5" max="5" width="12.625" style="353" customWidth="1"/>
    <col min="6" max="6" width="11.125" style="353" customWidth="1"/>
    <col min="7" max="7" width="12.25" style="353" bestFit="1" customWidth="1"/>
    <col min="8" max="8" width="9.875" style="353" bestFit="1" customWidth="1"/>
    <col min="9" max="12" width="11.125" style="353" customWidth="1"/>
    <col min="13" max="16384" width="9" style="353"/>
  </cols>
  <sheetData>
    <row r="1" spans="1:10" s="343" customFormat="1" ht="39.950000000000003" customHeight="1">
      <c r="A1" s="988" t="s">
        <v>623</v>
      </c>
      <c r="B1" s="988"/>
      <c r="C1" s="988"/>
      <c r="D1" s="988"/>
      <c r="E1" s="988"/>
      <c r="F1" s="988"/>
      <c r="G1" s="988"/>
      <c r="H1" s="988"/>
    </row>
    <row r="2" spans="1:10" ht="20.100000000000001" customHeight="1">
      <c r="A2" s="352"/>
      <c r="B2" s="989"/>
      <c r="C2" s="989"/>
      <c r="D2" s="989"/>
      <c r="E2" s="989"/>
      <c r="F2" s="989"/>
      <c r="G2" s="344"/>
      <c r="H2" s="345"/>
    </row>
    <row r="3" spans="1:10" ht="15.6" customHeight="1">
      <c r="A3" s="346"/>
      <c r="B3" s="442" t="s">
        <v>411</v>
      </c>
      <c r="C3" s="441">
        <v>12</v>
      </c>
      <c r="D3" s="441" t="s">
        <v>27</v>
      </c>
      <c r="E3" s="441">
        <v>160</v>
      </c>
      <c r="F3" s="440" t="s">
        <v>160</v>
      </c>
      <c r="G3" s="344" t="s">
        <v>210</v>
      </c>
      <c r="H3" s="625">
        <v>44146</v>
      </c>
    </row>
    <row r="4" spans="1:10" ht="9.9499999999999993" customHeight="1">
      <c r="F4" s="356"/>
      <c r="G4" s="357"/>
    </row>
    <row r="5" spans="1:10" ht="15" customHeight="1">
      <c r="A5" s="990" t="s">
        <v>285</v>
      </c>
      <c r="B5" s="991" t="s">
        <v>211</v>
      </c>
      <c r="C5" s="1001" t="s">
        <v>212</v>
      </c>
      <c r="D5" s="1002"/>
      <c r="E5" s="358" t="s">
        <v>213</v>
      </c>
      <c r="F5" s="1003" t="s">
        <v>214</v>
      </c>
      <c r="G5" s="1003" t="s">
        <v>215</v>
      </c>
      <c r="H5" s="1005" t="s">
        <v>216</v>
      </c>
    </row>
    <row r="6" spans="1:10" ht="15" customHeight="1">
      <c r="A6" s="990"/>
      <c r="B6" s="991"/>
      <c r="C6" s="359" t="s">
        <v>217</v>
      </c>
      <c r="D6" s="360" t="s">
        <v>218</v>
      </c>
      <c r="E6" s="361" t="s">
        <v>219</v>
      </c>
      <c r="F6" s="1003"/>
      <c r="G6" s="1004"/>
      <c r="H6" s="1005"/>
    </row>
    <row r="7" spans="1:10" ht="20.100000000000001" customHeight="1">
      <c r="A7" s="362">
        <v>1</v>
      </c>
      <c r="B7" s="363" t="s">
        <v>220</v>
      </c>
      <c r="C7" s="364"/>
      <c r="D7" s="365"/>
      <c r="E7" s="365"/>
      <c r="F7" s="364"/>
      <c r="G7" s="366">
        <f>SUM(G8:G12)</f>
        <v>839649.48768517212</v>
      </c>
      <c r="H7" s="367">
        <f>SUM(H8:H12)</f>
        <v>0.71025346999880834</v>
      </c>
    </row>
    <row r="8" spans="1:10" ht="20.100000000000001" customHeight="1">
      <c r="A8" s="368" t="s">
        <v>221</v>
      </c>
      <c r="B8" s="369" t="s">
        <v>624</v>
      </c>
      <c r="C8" s="370">
        <v>9500</v>
      </c>
      <c r="D8" s="371">
        <f>C8/$E$3</f>
        <v>59.375</v>
      </c>
      <c r="E8" s="548">
        <f>$C$3*$E$3</f>
        <v>1920</v>
      </c>
      <c r="F8" s="371">
        <f>D8*E8</f>
        <v>114000</v>
      </c>
      <c r="G8" s="371">
        <f>F8*$H$51</f>
        <v>287850.87477551016</v>
      </c>
      <c r="H8" s="373">
        <f>G8/$G$37</f>
        <v>0.2434909871917367</v>
      </c>
    </row>
    <row r="9" spans="1:10" ht="20.100000000000001" customHeight="1">
      <c r="A9" s="368" t="s">
        <v>221</v>
      </c>
      <c r="B9" s="369" t="s">
        <v>626</v>
      </c>
      <c r="C9" s="370">
        <v>5015.7</v>
      </c>
      <c r="D9" s="371">
        <f t="shared" ref="D9:D12" si="0">C9/$E$3</f>
        <v>31.348125</v>
      </c>
      <c r="E9" s="548">
        <f t="shared" ref="E9:E12" si="1">$C$3*$E$3</f>
        <v>1920</v>
      </c>
      <c r="F9" s="371">
        <f>D9*E9</f>
        <v>60188.4</v>
      </c>
      <c r="G9" s="371">
        <f>F9*$H$51</f>
        <v>151976.17185384489</v>
      </c>
      <c r="H9" s="373">
        <f>G9/$G$37</f>
        <v>0.12855555204816776</v>
      </c>
      <c r="J9" s="374"/>
    </row>
    <row r="10" spans="1:10" ht="20.100000000000001" customHeight="1">
      <c r="A10" s="368" t="s">
        <v>221</v>
      </c>
      <c r="B10" s="369" t="s">
        <v>626</v>
      </c>
      <c r="C10" s="370">
        <v>5015.7</v>
      </c>
      <c r="D10" s="371">
        <f t="shared" si="0"/>
        <v>31.348125</v>
      </c>
      <c r="E10" s="548">
        <f t="shared" si="1"/>
        <v>1920</v>
      </c>
      <c r="F10" s="371">
        <f>D10*E10</f>
        <v>60188.4</v>
      </c>
      <c r="G10" s="371">
        <f>F10*$H$51</f>
        <v>151976.17185384489</v>
      </c>
      <c r="H10" s="373">
        <f>G10/$G$37</f>
        <v>0.12855555204816776</v>
      </c>
    </row>
    <row r="11" spans="1:10" ht="20.100000000000001" customHeight="1">
      <c r="A11" s="368" t="s">
        <v>221</v>
      </c>
      <c r="B11" s="369" t="s">
        <v>627</v>
      </c>
      <c r="C11" s="370">
        <v>5015.7</v>
      </c>
      <c r="D11" s="371">
        <f t="shared" si="0"/>
        <v>31.348125</v>
      </c>
      <c r="E11" s="548">
        <f t="shared" si="1"/>
        <v>1920</v>
      </c>
      <c r="F11" s="371">
        <f>D11*E11</f>
        <v>60188.4</v>
      </c>
      <c r="G11" s="371">
        <f>F11*$H$51</f>
        <v>151976.17185384489</v>
      </c>
      <c r="H11" s="373">
        <f>G11/$G$37</f>
        <v>0.12855555204816776</v>
      </c>
    </row>
    <row r="12" spans="1:10" ht="20.100000000000001" customHeight="1">
      <c r="A12" s="368" t="s">
        <v>221</v>
      </c>
      <c r="B12" s="369" t="s">
        <v>621</v>
      </c>
      <c r="C12" s="370">
        <v>3164.02</v>
      </c>
      <c r="D12" s="371">
        <f t="shared" si="0"/>
        <v>19.775124999999999</v>
      </c>
      <c r="E12" s="548">
        <f t="shared" si="1"/>
        <v>1920</v>
      </c>
      <c r="F12" s="371">
        <f>D12*E12</f>
        <v>37968.239999999998</v>
      </c>
      <c r="G12" s="371">
        <f>F12*$H$51</f>
        <v>95870.097348127325</v>
      </c>
      <c r="H12" s="373">
        <f>G12/$G$37</f>
        <v>8.1095826662568274E-2</v>
      </c>
    </row>
    <row r="13" spans="1:10" ht="6" customHeight="1">
      <c r="A13" s="368"/>
      <c r="B13" s="375"/>
      <c r="C13" s="370"/>
      <c r="D13" s="368"/>
      <c r="E13" s="370"/>
      <c r="F13" s="371"/>
      <c r="G13" s="376"/>
      <c r="H13" s="377"/>
      <c r="I13" s="378"/>
    </row>
    <row r="14" spans="1:10" ht="15" customHeight="1">
      <c r="A14" s="1006" t="s">
        <v>285</v>
      </c>
      <c r="B14" s="1008" t="s">
        <v>211</v>
      </c>
      <c r="C14" s="998" t="s">
        <v>212</v>
      </c>
      <c r="D14" s="1004"/>
      <c r="E14" s="379" t="s">
        <v>213</v>
      </c>
      <c r="F14" s="1010" t="s">
        <v>214</v>
      </c>
      <c r="G14" s="1010" t="s">
        <v>222</v>
      </c>
      <c r="H14" s="999" t="s">
        <v>216</v>
      </c>
    </row>
    <row r="15" spans="1:10" ht="15" customHeight="1">
      <c r="A15" s="1007"/>
      <c r="B15" s="1009"/>
      <c r="C15" s="379" t="s">
        <v>217</v>
      </c>
      <c r="D15" s="380" t="s">
        <v>218</v>
      </c>
      <c r="E15" s="379" t="s">
        <v>219</v>
      </c>
      <c r="F15" s="1011"/>
      <c r="G15" s="1011"/>
      <c r="H15" s="1000"/>
    </row>
    <row r="16" spans="1:10" ht="20.100000000000001" customHeight="1">
      <c r="A16" s="362">
        <v>2</v>
      </c>
      <c r="B16" s="363" t="s">
        <v>223</v>
      </c>
      <c r="C16" s="364"/>
      <c r="D16" s="365"/>
      <c r="E16" s="365"/>
      <c r="F16" s="364"/>
      <c r="G16" s="366">
        <f>SUM(G17:G20)</f>
        <v>121689.7303973339</v>
      </c>
      <c r="H16" s="367">
        <f>SUM(H17:H20)</f>
        <v>0.1029364687831896</v>
      </c>
    </row>
    <row r="17" spans="1:9" ht="20.100000000000001" customHeight="1">
      <c r="A17" s="368" t="s">
        <v>221</v>
      </c>
      <c r="B17" s="369" t="s">
        <v>383</v>
      </c>
      <c r="C17" s="370">
        <v>14505.08</v>
      </c>
      <c r="D17" s="371">
        <f>C17/'Dias trabalhados'!$C$15</f>
        <v>87.355442245151977</v>
      </c>
      <c r="E17" s="382">
        <v>200</v>
      </c>
      <c r="F17" s="371">
        <f>D17*E17</f>
        <v>17471.088449030394</v>
      </c>
      <c r="G17" s="371">
        <f>F17*$H$52</f>
        <v>30422.432599333475</v>
      </c>
      <c r="H17" s="373">
        <f>G17/$G$37</f>
        <v>2.57341171957974E-2</v>
      </c>
    </row>
    <row r="18" spans="1:9" ht="20.100000000000001" customHeight="1">
      <c r="A18" s="368" t="s">
        <v>221</v>
      </c>
      <c r="B18" s="369" t="s">
        <v>384</v>
      </c>
      <c r="C18" s="370">
        <v>14505.08</v>
      </c>
      <c r="D18" s="371">
        <f>C18/'Dias trabalhados'!$C$15</f>
        <v>87.355442245151977</v>
      </c>
      <c r="E18" s="382">
        <v>200</v>
      </c>
      <c r="F18" s="371">
        <f t="shared" ref="F18:F20" si="2">D18*E18</f>
        <v>17471.088449030394</v>
      </c>
      <c r="G18" s="371">
        <f t="shared" ref="G18:G20" si="3">F18*$H$52</f>
        <v>30422.432599333475</v>
      </c>
      <c r="H18" s="373">
        <f>G18/$G$37</f>
        <v>2.57341171957974E-2</v>
      </c>
    </row>
    <row r="19" spans="1:9" ht="20.100000000000001" customHeight="1">
      <c r="A19" s="368" t="s">
        <v>221</v>
      </c>
      <c r="B19" s="369" t="s">
        <v>385</v>
      </c>
      <c r="C19" s="370">
        <v>14505.08</v>
      </c>
      <c r="D19" s="371">
        <f>C19/'Dias trabalhados'!$C$15</f>
        <v>87.355442245151977</v>
      </c>
      <c r="E19" s="382">
        <v>200</v>
      </c>
      <c r="F19" s="371">
        <f t="shared" si="2"/>
        <v>17471.088449030394</v>
      </c>
      <c r="G19" s="371">
        <f t="shared" si="3"/>
        <v>30422.432599333475</v>
      </c>
      <c r="H19" s="373">
        <f>G19/$G$37</f>
        <v>2.57341171957974E-2</v>
      </c>
    </row>
    <row r="20" spans="1:9" ht="20.100000000000001" customHeight="1">
      <c r="A20" s="368" t="s">
        <v>221</v>
      </c>
      <c r="B20" s="369" t="s">
        <v>386</v>
      </c>
      <c r="C20" s="370">
        <v>14505.08</v>
      </c>
      <c r="D20" s="371">
        <f>C20/'Dias trabalhados'!$C$15</f>
        <v>87.355442245151977</v>
      </c>
      <c r="E20" s="382">
        <v>200</v>
      </c>
      <c r="F20" s="371">
        <f t="shared" si="2"/>
        <v>17471.088449030394</v>
      </c>
      <c r="G20" s="371">
        <f t="shared" si="3"/>
        <v>30422.432599333475</v>
      </c>
      <c r="H20" s="373">
        <f>G20/$G$37</f>
        <v>2.57341171957974E-2</v>
      </c>
    </row>
    <row r="21" spans="1:9" ht="6" customHeight="1">
      <c r="A21" s="368"/>
      <c r="B21" s="375"/>
      <c r="C21" s="370"/>
      <c r="D21" s="549"/>
      <c r="E21" s="401"/>
      <c r="F21" s="550"/>
      <c r="G21" s="376"/>
      <c r="H21" s="377"/>
      <c r="I21" s="378"/>
    </row>
    <row r="22" spans="1:9" ht="15" customHeight="1">
      <c r="A22" s="990" t="s">
        <v>285</v>
      </c>
      <c r="B22" s="995" t="s">
        <v>211</v>
      </c>
      <c r="C22" s="996" t="s">
        <v>224</v>
      </c>
      <c r="D22" s="384" t="s">
        <v>170</v>
      </c>
      <c r="E22" s="385" t="s">
        <v>169</v>
      </c>
      <c r="F22" s="384" t="s">
        <v>225</v>
      </c>
      <c r="G22" s="997" t="s">
        <v>226</v>
      </c>
      <c r="H22" s="998" t="s">
        <v>216</v>
      </c>
    </row>
    <row r="23" spans="1:9" ht="15" customHeight="1">
      <c r="A23" s="990"/>
      <c r="B23" s="995"/>
      <c r="C23" s="996"/>
      <c r="D23" s="386" t="s">
        <v>63</v>
      </c>
      <c r="E23" s="386" t="s">
        <v>173</v>
      </c>
      <c r="F23" s="387" t="s">
        <v>173</v>
      </c>
      <c r="G23" s="996"/>
      <c r="H23" s="998"/>
    </row>
    <row r="24" spans="1:9" ht="20.100000000000001" customHeight="1">
      <c r="A24" s="362">
        <v>3</v>
      </c>
      <c r="B24" s="363" t="s">
        <v>393</v>
      </c>
      <c r="C24" s="364"/>
      <c r="D24" s="365"/>
      <c r="E24" s="365"/>
      <c r="F24" s="364"/>
      <c r="G24" s="366">
        <f>G25</f>
        <v>133887.04793002916</v>
      </c>
      <c r="H24" s="367">
        <f>H25</f>
        <v>0.11325409206449194</v>
      </c>
    </row>
    <row r="25" spans="1:9" ht="20.100000000000001" customHeight="1">
      <c r="A25" s="388"/>
      <c r="B25" s="389" t="s">
        <v>618</v>
      </c>
      <c r="C25" s="390"/>
      <c r="D25" s="388"/>
      <c r="E25" s="391"/>
      <c r="F25" s="392"/>
      <c r="G25" s="393">
        <f>G26</f>
        <v>133887.04793002916</v>
      </c>
      <c r="H25" s="394">
        <f>SUM(H26:H26)</f>
        <v>0.11325409206449194</v>
      </c>
    </row>
    <row r="26" spans="1:9" ht="20.100000000000001" customHeight="1">
      <c r="A26" s="368"/>
      <c r="B26" s="369" t="s">
        <v>619</v>
      </c>
      <c r="C26" s="371" t="s">
        <v>380</v>
      </c>
      <c r="D26" s="371">
        <v>1500</v>
      </c>
      <c r="E26" s="371">
        <v>60</v>
      </c>
      <c r="F26" s="371">
        <f t="shared" ref="F26" si="4">D26*E26</f>
        <v>90000</v>
      </c>
      <c r="G26" s="371">
        <f>F26*$H$53</f>
        <v>133887.04793002916</v>
      </c>
      <c r="H26" s="373">
        <f>G26/$G$37</f>
        <v>0.11325409206449194</v>
      </c>
    </row>
    <row r="27" spans="1:9" ht="6" customHeight="1">
      <c r="A27" s="347"/>
      <c r="B27" s="348"/>
      <c r="C27" s="370"/>
      <c r="D27" s="399"/>
      <c r="E27" s="400"/>
      <c r="F27" s="401"/>
      <c r="G27" s="370"/>
      <c r="H27" s="373"/>
    </row>
    <row r="28" spans="1:9" ht="15" customHeight="1">
      <c r="A28" s="990" t="s">
        <v>285</v>
      </c>
      <c r="B28" s="995" t="s">
        <v>211</v>
      </c>
      <c r="C28" s="996" t="s">
        <v>224</v>
      </c>
      <c r="D28" s="384" t="s">
        <v>170</v>
      </c>
      <c r="E28" s="385" t="s">
        <v>169</v>
      </c>
      <c r="F28" s="384" t="s">
        <v>225</v>
      </c>
      <c r="G28" s="997" t="s">
        <v>226</v>
      </c>
      <c r="H28" s="998" t="s">
        <v>216</v>
      </c>
    </row>
    <row r="29" spans="1:9" ht="15" customHeight="1">
      <c r="A29" s="990"/>
      <c r="B29" s="995"/>
      <c r="C29" s="996"/>
      <c r="D29" s="386" t="s">
        <v>63</v>
      </c>
      <c r="E29" s="386" t="s">
        <v>173</v>
      </c>
      <c r="F29" s="387" t="s">
        <v>173</v>
      </c>
      <c r="G29" s="996"/>
      <c r="H29" s="998"/>
    </row>
    <row r="30" spans="1:9" ht="20.100000000000001" customHeight="1">
      <c r="A30" s="362">
        <v>4</v>
      </c>
      <c r="B30" s="363" t="s">
        <v>227</v>
      </c>
      <c r="C30" s="364"/>
      <c r="D30" s="365"/>
      <c r="E30" s="365"/>
      <c r="F30" s="364"/>
      <c r="G30" s="366">
        <f>SUM(G31:G36)</f>
        <v>86956.606936443146</v>
      </c>
      <c r="H30" s="367">
        <f>SUM(H31:H36)</f>
        <v>7.3555969153510217E-2</v>
      </c>
    </row>
    <row r="31" spans="1:9" ht="20.100000000000001" customHeight="1">
      <c r="A31" s="368" t="s">
        <v>221</v>
      </c>
      <c r="B31" s="402" t="s">
        <v>387</v>
      </c>
      <c r="C31" s="403" t="s">
        <v>391</v>
      </c>
      <c r="D31" s="396">
        <v>12</v>
      </c>
      <c r="E31" s="395">
        <v>3561.89</v>
      </c>
      <c r="F31" s="371">
        <f t="shared" ref="F31:F36" si="5">D31*E31</f>
        <v>42742.68</v>
      </c>
      <c r="G31" s="371">
        <f>F31*$H$54</f>
        <v>54212.173490379006</v>
      </c>
      <c r="H31" s="373">
        <f t="shared" ref="H31:H36" si="6">G31/$G$37</f>
        <v>4.5857688121589579E-2</v>
      </c>
    </row>
    <row r="32" spans="1:9" ht="20.100000000000001" customHeight="1">
      <c r="A32" s="368"/>
      <c r="B32" s="404" t="s">
        <v>388</v>
      </c>
      <c r="C32" s="395" t="s">
        <v>284</v>
      </c>
      <c r="D32" s="396">
        <v>60</v>
      </c>
      <c r="E32" s="395">
        <v>5</v>
      </c>
      <c r="F32" s="371">
        <f t="shared" si="5"/>
        <v>300</v>
      </c>
      <c r="G32" s="371">
        <f t="shared" ref="G32:G36" si="7">F32*$H$54</f>
        <v>380.50145772594749</v>
      </c>
      <c r="H32" s="373">
        <f t="shared" si="6"/>
        <v>3.2186344975272663E-4</v>
      </c>
    </row>
    <row r="33" spans="1:8" ht="20.100000000000001" customHeight="1">
      <c r="A33" s="368"/>
      <c r="B33" s="404" t="s">
        <v>389</v>
      </c>
      <c r="C33" s="395" t="s">
        <v>63</v>
      </c>
      <c r="D33" s="396">
        <v>2300</v>
      </c>
      <c r="E33" s="395">
        <v>0.3</v>
      </c>
      <c r="F33" s="371">
        <f t="shared" si="5"/>
        <v>690</v>
      </c>
      <c r="G33" s="371">
        <f t="shared" si="7"/>
        <v>875.15335276967915</v>
      </c>
      <c r="H33" s="373">
        <f t="shared" si="6"/>
        <v>7.4028593443127122E-4</v>
      </c>
    </row>
    <row r="34" spans="1:8" ht="20.100000000000001" customHeight="1">
      <c r="A34" s="368"/>
      <c r="B34" s="404" t="s">
        <v>390</v>
      </c>
      <c r="C34" s="395" t="s">
        <v>63</v>
      </c>
      <c r="D34" s="396">
        <v>12</v>
      </c>
      <c r="E34" s="395">
        <v>18.899999999999999</v>
      </c>
      <c r="F34" s="371">
        <f t="shared" si="5"/>
        <v>226.79999999999998</v>
      </c>
      <c r="G34" s="371">
        <f t="shared" si="7"/>
        <v>287.65910204081626</v>
      </c>
      <c r="H34" s="373">
        <f t="shared" si="6"/>
        <v>2.4332876801306131E-4</v>
      </c>
    </row>
    <row r="35" spans="1:8" ht="20.100000000000001" customHeight="1">
      <c r="A35" s="368"/>
      <c r="B35" s="404" t="s">
        <v>368</v>
      </c>
      <c r="C35" s="395" t="s">
        <v>63</v>
      </c>
      <c r="D35" s="396">
        <v>0</v>
      </c>
      <c r="E35" s="395">
        <v>30</v>
      </c>
      <c r="F35" s="371">
        <f t="shared" si="5"/>
        <v>0</v>
      </c>
      <c r="G35" s="371">
        <f t="shared" si="7"/>
        <v>0</v>
      </c>
      <c r="H35" s="373">
        <f t="shared" si="6"/>
        <v>0</v>
      </c>
    </row>
    <row r="36" spans="1:8" ht="20.100000000000001" customHeight="1">
      <c r="A36" s="368"/>
      <c r="B36" s="404" t="s">
        <v>283</v>
      </c>
      <c r="C36" s="395" t="s">
        <v>392</v>
      </c>
      <c r="D36" s="396">
        <v>120</v>
      </c>
      <c r="E36" s="395">
        <v>205</v>
      </c>
      <c r="F36" s="371">
        <f t="shared" si="5"/>
        <v>24600</v>
      </c>
      <c r="G36" s="371">
        <f t="shared" si="7"/>
        <v>31201.119533527693</v>
      </c>
      <c r="H36" s="373">
        <f t="shared" si="6"/>
        <v>2.6392802879723582E-2</v>
      </c>
    </row>
    <row r="37" spans="1:8" ht="20.100000000000001" customHeight="1">
      <c r="A37" s="405"/>
      <c r="B37" s="405" t="s">
        <v>228</v>
      </c>
      <c r="C37" s="405"/>
      <c r="D37" s="405"/>
      <c r="E37" s="406"/>
      <c r="F37" s="407"/>
      <c r="G37" s="408">
        <f>G7+G16+G24+G30</f>
        <v>1182182.8729489783</v>
      </c>
      <c r="H37" s="409">
        <f>H7+H16+H25+H30</f>
        <v>1</v>
      </c>
    </row>
    <row r="38" spans="1:8" ht="6" customHeight="1">
      <c r="A38" s="410"/>
      <c r="B38" s="410"/>
      <c r="C38" s="410"/>
      <c r="D38" s="410"/>
      <c r="E38" s="410"/>
      <c r="F38" s="410"/>
      <c r="G38" s="410"/>
      <c r="H38" s="410"/>
    </row>
    <row r="39" spans="1:8" ht="20.100000000000001" customHeight="1">
      <c r="A39" s="993" t="s">
        <v>229</v>
      </c>
      <c r="B39" s="993"/>
      <c r="C39" s="411"/>
      <c r="D39" s="411"/>
      <c r="E39" s="411"/>
      <c r="F39" s="411"/>
      <c r="G39" s="411"/>
      <c r="H39" s="411"/>
    </row>
    <row r="40" spans="1:8" ht="3" customHeight="1">
      <c r="A40" s="412"/>
      <c r="B40" s="413"/>
      <c r="C40" s="412"/>
      <c r="D40" s="414"/>
      <c r="E40" s="415"/>
      <c r="F40" s="416"/>
      <c r="G40" s="370"/>
      <c r="H40" s="370"/>
    </row>
    <row r="41" spans="1:8">
      <c r="A41" s="417"/>
      <c r="B41" s="417" t="s">
        <v>230</v>
      </c>
      <c r="C41" s="418"/>
      <c r="D41" s="419"/>
      <c r="E41" s="420"/>
      <c r="F41" s="421"/>
      <c r="G41" s="422"/>
      <c r="H41" s="423">
        <v>0.81789999999999996</v>
      </c>
    </row>
    <row r="42" spans="1:8">
      <c r="A42" s="417"/>
      <c r="B42" s="417" t="s">
        <v>231</v>
      </c>
      <c r="C42" s="418"/>
      <c r="D42" s="419"/>
      <c r="E42" s="420"/>
      <c r="F42" s="421"/>
      <c r="G42" s="422"/>
      <c r="H42" s="423">
        <v>0.2</v>
      </c>
    </row>
    <row r="43" spans="1:8">
      <c r="A43" s="424"/>
      <c r="B43" s="424" t="s">
        <v>232</v>
      </c>
      <c r="C43" s="424"/>
      <c r="D43" s="419"/>
      <c r="E43" s="420"/>
      <c r="F43" s="421"/>
      <c r="G43" s="422"/>
      <c r="H43" s="423">
        <v>0.1729</v>
      </c>
    </row>
    <row r="44" spans="1:8">
      <c r="A44" s="424"/>
      <c r="B44" s="424" t="s">
        <v>233</v>
      </c>
      <c r="C44" s="424"/>
      <c r="D44" s="419"/>
      <c r="E44" s="420"/>
      <c r="F44" s="421"/>
      <c r="G44" s="422"/>
      <c r="H44" s="423">
        <v>8.7599999999999997E-2</v>
      </c>
    </row>
    <row r="45" spans="1:8">
      <c r="A45" s="424"/>
      <c r="B45" s="424" t="s">
        <v>234</v>
      </c>
      <c r="C45" s="424"/>
      <c r="D45" s="419"/>
      <c r="E45" s="420"/>
      <c r="F45" s="421"/>
      <c r="G45" s="422"/>
      <c r="H45" s="423">
        <f>(1/(1-(C47+C48+C49)))-1</f>
        <v>0.16618075801749277</v>
      </c>
    </row>
    <row r="46" spans="1:8">
      <c r="A46" s="425"/>
      <c r="B46" s="425" t="s">
        <v>235</v>
      </c>
      <c r="C46" s="417"/>
      <c r="D46" s="419"/>
      <c r="E46" s="420"/>
      <c r="F46" s="421"/>
      <c r="G46" s="422"/>
      <c r="H46" s="423"/>
    </row>
    <row r="47" spans="1:8">
      <c r="A47" s="417"/>
      <c r="B47" s="417" t="s">
        <v>236</v>
      </c>
      <c r="C47" s="426">
        <v>1.6500000000000001E-2</v>
      </c>
      <c r="D47" s="419"/>
      <c r="E47" s="420"/>
      <c r="F47" s="421"/>
      <c r="G47" s="422"/>
      <c r="H47" s="427"/>
    </row>
    <row r="48" spans="1:8">
      <c r="A48" s="417"/>
      <c r="B48" s="417" t="s">
        <v>237</v>
      </c>
      <c r="C48" s="426">
        <v>7.5999999999999998E-2</v>
      </c>
      <c r="D48" s="419"/>
      <c r="E48" s="420"/>
      <c r="F48" s="421"/>
      <c r="G48" s="422"/>
      <c r="H48" s="427"/>
    </row>
    <row r="49" spans="1:11">
      <c r="A49" s="417"/>
      <c r="B49" s="417" t="s">
        <v>238</v>
      </c>
      <c r="C49" s="426">
        <v>0.05</v>
      </c>
      <c r="D49" s="419"/>
      <c r="E49" s="420"/>
      <c r="F49" s="421"/>
      <c r="G49" s="422"/>
      <c r="H49" s="427"/>
    </row>
    <row r="50" spans="1:11" ht="3" customHeight="1">
      <c r="A50" s="412"/>
      <c r="B50" s="428"/>
      <c r="C50" s="429"/>
      <c r="D50" s="430"/>
      <c r="E50" s="415"/>
      <c r="F50" s="428"/>
      <c r="G50" s="370"/>
      <c r="H50" s="414"/>
    </row>
    <row r="51" spans="1:11">
      <c r="A51" s="431" t="s">
        <v>239</v>
      </c>
      <c r="B51" s="432" t="str">
        <f>B7</f>
        <v>EQUIPE TÉCNICA PERMANENTE</v>
      </c>
      <c r="C51" s="994" t="s">
        <v>240</v>
      </c>
      <c r="D51" s="994"/>
      <c r="E51" s="994"/>
      <c r="F51" s="433"/>
      <c r="G51" s="434"/>
      <c r="H51" s="435">
        <f>(1+H41+H43)*(1+H44)*(1+H45)</f>
        <v>2.5250076734693874</v>
      </c>
    </row>
    <row r="52" spans="1:11">
      <c r="A52" s="431" t="s">
        <v>241</v>
      </c>
      <c r="B52" s="432" t="e">
        <f>#REF!</f>
        <v>#REF!</v>
      </c>
      <c r="C52" s="994" t="s">
        <v>242</v>
      </c>
      <c r="D52" s="994"/>
      <c r="E52" s="994"/>
      <c r="F52" s="433"/>
      <c r="G52" s="436"/>
      <c r="H52" s="437">
        <f>(1+H42+H43)*(1+H44)*(1+H45)</f>
        <v>1.7413015043731779</v>
      </c>
    </row>
    <row r="53" spans="1:11">
      <c r="A53" s="431" t="s">
        <v>243</v>
      </c>
      <c r="B53" s="432" t="str">
        <f>B24</f>
        <v>SERVIÇO DE APOIO TÉCNICO</v>
      </c>
      <c r="C53" s="994" t="s">
        <v>244</v>
      </c>
      <c r="D53" s="994"/>
      <c r="E53" s="994"/>
      <c r="F53" s="433"/>
      <c r="G53" s="436"/>
      <c r="H53" s="437">
        <f>(1+H43)*(1+H44)*(1+H45)</f>
        <v>1.487633865889213</v>
      </c>
    </row>
    <row r="54" spans="1:11">
      <c r="A54" s="431" t="s">
        <v>245</v>
      </c>
      <c r="B54" s="432" t="str">
        <f>B30</f>
        <v>DESPESAS DIRETAS</v>
      </c>
      <c r="C54" s="994" t="s">
        <v>246</v>
      </c>
      <c r="D54" s="994"/>
      <c r="E54" s="994"/>
      <c r="F54" s="433"/>
      <c r="G54" s="436"/>
      <c r="H54" s="437">
        <f>(1+H44)*(1+H45)</f>
        <v>1.2683381924198249</v>
      </c>
    </row>
    <row r="55" spans="1:11" ht="15" customHeight="1">
      <c r="A55" s="346" t="s">
        <v>247</v>
      </c>
    </row>
    <row r="56" spans="1:11" ht="30" customHeight="1">
      <c r="A56" s="349" t="s">
        <v>248</v>
      </c>
      <c r="B56" s="992" t="s">
        <v>249</v>
      </c>
      <c r="C56" s="992"/>
      <c r="D56" s="992"/>
      <c r="E56" s="992"/>
      <c r="F56" s="992"/>
      <c r="G56" s="992"/>
      <c r="H56" s="350"/>
    </row>
    <row r="57" spans="1:11" ht="30" customHeight="1">
      <c r="A57" s="349" t="s">
        <v>250</v>
      </c>
      <c r="B57" s="992" t="s">
        <v>251</v>
      </c>
      <c r="C57" s="992"/>
      <c r="D57" s="992"/>
      <c r="E57" s="992"/>
      <c r="F57" s="992"/>
      <c r="G57" s="992"/>
      <c r="H57" s="350"/>
    </row>
    <row r="58" spans="1:11" ht="14.25" customHeight="1">
      <c r="A58" s="349" t="s">
        <v>252</v>
      </c>
      <c r="B58" s="992" t="s">
        <v>253</v>
      </c>
      <c r="C58" s="992"/>
      <c r="D58" s="992"/>
      <c r="E58" s="992"/>
      <c r="F58" s="992"/>
      <c r="G58" s="992"/>
      <c r="H58" s="350"/>
    </row>
    <row r="59" spans="1:11" ht="9.9499999999999993" customHeight="1">
      <c r="A59" s="351"/>
      <c r="B59" s="351"/>
      <c r="C59" s="351"/>
      <c r="D59" s="351"/>
      <c r="E59" s="351"/>
      <c r="F59" s="351"/>
      <c r="G59" s="351"/>
      <c r="H59" s="351"/>
      <c r="J59" s="438"/>
      <c r="K59" s="438"/>
    </row>
    <row r="62" spans="1:11">
      <c r="D62" s="439"/>
    </row>
    <row r="63" spans="1:11">
      <c r="A63" s="439"/>
      <c r="B63" s="439"/>
      <c r="D63" s="439"/>
    </row>
    <row r="64" spans="1:11">
      <c r="D64" s="352"/>
    </row>
    <row r="65" spans="1:9">
      <c r="D65" s="439"/>
    </row>
    <row r="66" spans="1:9">
      <c r="A66" s="440"/>
      <c r="B66" s="351"/>
      <c r="C66" s="357"/>
      <c r="D66" s="439"/>
      <c r="E66" s="357"/>
      <c r="F66" s="357"/>
      <c r="G66" s="357"/>
      <c r="H66" s="357"/>
      <c r="I66" s="354"/>
    </row>
  </sheetData>
  <mergeCells count="32">
    <mergeCell ref="A1:H1"/>
    <mergeCell ref="B2:F2"/>
    <mergeCell ref="A5:A6"/>
    <mergeCell ref="B5:B6"/>
    <mergeCell ref="C5:D5"/>
    <mergeCell ref="F5:F6"/>
    <mergeCell ref="G5:G6"/>
    <mergeCell ref="H5:H6"/>
    <mergeCell ref="C22:C23"/>
    <mergeCell ref="G22:G23"/>
    <mergeCell ref="H22:H23"/>
    <mergeCell ref="A28:A29"/>
    <mergeCell ref="B28:B29"/>
    <mergeCell ref="C28:C29"/>
    <mergeCell ref="G28:G29"/>
    <mergeCell ref="H28:H29"/>
    <mergeCell ref="H14:H15"/>
    <mergeCell ref="B57:G57"/>
    <mergeCell ref="B58:G58"/>
    <mergeCell ref="A14:A15"/>
    <mergeCell ref="B14:B15"/>
    <mergeCell ref="C14:D14"/>
    <mergeCell ref="F14:F15"/>
    <mergeCell ref="G14:G15"/>
    <mergeCell ref="A39:B39"/>
    <mergeCell ref="C51:E51"/>
    <mergeCell ref="C52:E52"/>
    <mergeCell ref="C53:E53"/>
    <mergeCell ref="C54:E54"/>
    <mergeCell ref="B56:G56"/>
    <mergeCell ref="A22:A23"/>
    <mergeCell ref="B22:B23"/>
  </mergeCells>
  <printOptions horizontalCentered="1"/>
  <pageMargins left="0.51181102362204722" right="0.51181102362204722" top="0.78740157480314965" bottom="0.78740157480314965" header="0.31496062992125984" footer="0.31496062992125984"/>
  <pageSetup paperSize="9" scale="66" fitToHeight="0" orientation="portrait" r:id="rId1"/>
  <headerFooter>
    <oddFooter>&amp;L&amp;F&amp;C&amp;A&amp;R&amp;P/&amp;N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L34"/>
  <sheetViews>
    <sheetView workbookViewId="0">
      <selection activeCell="E40" sqref="E40"/>
    </sheetView>
  </sheetViews>
  <sheetFormatPr defaultRowHeight="15"/>
  <cols>
    <col min="1" max="1" width="12" style="688" bestFit="1" customWidth="1"/>
    <col min="2" max="2" width="8.5" style="688" customWidth="1"/>
    <col min="3" max="3" width="23.375" style="688" bestFit="1" customWidth="1"/>
    <col min="4" max="4" width="11.5" style="688" bestFit="1" customWidth="1"/>
    <col min="5" max="13" width="16.375" style="688" customWidth="1"/>
    <col min="14" max="16384" width="9" style="688"/>
  </cols>
  <sheetData>
    <row r="1" spans="1:12">
      <c r="A1" s="1027" t="s">
        <v>889</v>
      </c>
      <c r="B1" s="1028"/>
      <c r="C1" s="1028"/>
      <c r="D1" s="1028"/>
      <c r="E1" s="1028"/>
      <c r="F1" s="1028"/>
      <c r="G1" s="1028"/>
      <c r="H1" s="1028"/>
      <c r="I1" s="1028"/>
      <c r="J1" s="1028"/>
      <c r="K1" s="1028"/>
      <c r="L1" s="1028"/>
    </row>
    <row r="2" spans="1:12">
      <c r="A2" s="1028"/>
      <c r="B2" s="1028"/>
      <c r="C2" s="1028"/>
      <c r="D2" s="1028"/>
      <c r="E2" s="1028"/>
      <c r="F2" s="1028"/>
      <c r="G2" s="1028"/>
      <c r="H2" s="1028"/>
      <c r="I2" s="1028"/>
      <c r="J2" s="1028"/>
      <c r="K2" s="1028"/>
      <c r="L2" s="1028"/>
    </row>
    <row r="3" spans="1:12">
      <c r="A3" s="1028"/>
      <c r="B3" s="1028"/>
      <c r="C3" s="1028"/>
      <c r="D3" s="1028"/>
      <c r="E3" s="1028"/>
      <c r="F3" s="1028"/>
      <c r="G3" s="1028"/>
      <c r="H3" s="1028"/>
      <c r="I3" s="1028"/>
      <c r="J3" s="1028"/>
      <c r="K3" s="1028"/>
      <c r="L3" s="1028"/>
    </row>
    <row r="4" spans="1:12">
      <c r="A4" s="1028"/>
      <c r="B4" s="1028"/>
      <c r="C4" s="1028"/>
      <c r="D4" s="1028"/>
      <c r="E4" s="1028"/>
      <c r="F4" s="1028"/>
      <c r="G4" s="1028"/>
      <c r="H4" s="1028"/>
      <c r="I4" s="1028"/>
      <c r="J4" s="1028"/>
      <c r="K4" s="1028"/>
      <c r="L4" s="1028"/>
    </row>
    <row r="5" spans="1:12" ht="45">
      <c r="A5" s="689" t="s">
        <v>849</v>
      </c>
      <c r="B5" s="689" t="s">
        <v>850</v>
      </c>
      <c r="C5" s="689" t="s">
        <v>851</v>
      </c>
      <c r="D5" s="689" t="s">
        <v>852</v>
      </c>
      <c r="E5" s="689" t="s">
        <v>853</v>
      </c>
      <c r="F5" s="689" t="s">
        <v>854</v>
      </c>
      <c r="G5" s="689" t="s">
        <v>855</v>
      </c>
      <c r="H5" s="689" t="s">
        <v>856</v>
      </c>
      <c r="I5" s="689" t="s">
        <v>857</v>
      </c>
      <c r="J5" s="689" t="s">
        <v>858</v>
      </c>
      <c r="K5" s="689" t="s">
        <v>859</v>
      </c>
      <c r="L5" s="689" t="s">
        <v>860</v>
      </c>
    </row>
    <row r="6" spans="1:12" ht="22.5">
      <c r="A6" s="690"/>
      <c r="B6" s="689"/>
      <c r="C6" s="689"/>
      <c r="D6" s="689"/>
      <c r="E6" s="691" t="s">
        <v>861</v>
      </c>
      <c r="F6" s="691" t="s">
        <v>862</v>
      </c>
      <c r="G6" s="691" t="s">
        <v>863</v>
      </c>
      <c r="H6" s="689"/>
      <c r="I6" s="689"/>
      <c r="J6" s="689"/>
      <c r="K6" s="689"/>
      <c r="L6" s="692"/>
    </row>
    <row r="7" spans="1:12" ht="15.75" thickBot="1"/>
    <row r="8" spans="1:12">
      <c r="A8" s="693" t="s">
        <v>864</v>
      </c>
      <c r="B8" s="694">
        <v>1</v>
      </c>
      <c r="C8" s="695" t="s">
        <v>865</v>
      </c>
      <c r="D8" s="694" t="s">
        <v>866</v>
      </c>
      <c r="E8" s="696">
        <v>0</v>
      </c>
      <c r="F8" s="696">
        <v>868426.40499999991</v>
      </c>
      <c r="G8" s="696">
        <v>1734570.86</v>
      </c>
      <c r="H8" s="697">
        <f>SUM(E8:G8)</f>
        <v>2602997.2650000001</v>
      </c>
      <c r="I8" s="696">
        <v>0</v>
      </c>
      <c r="J8" s="696">
        <v>242847.94</v>
      </c>
      <c r="K8" s="696">
        <v>54855.62</v>
      </c>
      <c r="L8" s="698">
        <f>SUBTOTAL(9,I8:K8)</f>
        <v>297703.56</v>
      </c>
    </row>
    <row r="9" spans="1:12">
      <c r="A9" s="699" t="s">
        <v>864</v>
      </c>
      <c r="B9" s="700">
        <v>1</v>
      </c>
      <c r="C9" s="701" t="s">
        <v>867</v>
      </c>
      <c r="D9" s="700" t="s">
        <v>866</v>
      </c>
      <c r="E9" s="702">
        <v>0</v>
      </c>
      <c r="F9" s="702">
        <v>818935.79</v>
      </c>
      <c r="G9" s="702">
        <v>5857508.6500000004</v>
      </c>
      <c r="H9" s="703">
        <f t="shared" ref="H9:H15" si="0">SUM(E9:G9)</f>
        <v>6676444.4400000004</v>
      </c>
      <c r="I9" s="702">
        <v>0</v>
      </c>
      <c r="J9" s="702">
        <v>242847.94</v>
      </c>
      <c r="K9" s="702">
        <v>120258.87</v>
      </c>
      <c r="L9" s="704">
        <f t="shared" ref="L9:L24" si="1">SUBTOTAL(9,I9:K9)</f>
        <v>363106.81</v>
      </c>
    </row>
    <row r="10" spans="1:12">
      <c r="A10" s="699" t="s">
        <v>864</v>
      </c>
      <c r="B10" s="700">
        <v>1</v>
      </c>
      <c r="C10" s="701" t="s">
        <v>868</v>
      </c>
      <c r="D10" s="700" t="s">
        <v>866</v>
      </c>
      <c r="E10" s="702">
        <v>18023.080000000002</v>
      </c>
      <c r="F10" s="702">
        <v>706800.83</v>
      </c>
      <c r="G10" s="702">
        <v>5372817.3799999999</v>
      </c>
      <c r="H10" s="703">
        <f t="shared" si="0"/>
        <v>6097641.29</v>
      </c>
      <c r="I10" s="702">
        <v>16337.44</v>
      </c>
      <c r="J10" s="702">
        <v>176185.77</v>
      </c>
      <c r="K10" s="702">
        <v>120258.87</v>
      </c>
      <c r="L10" s="704">
        <f t="shared" si="1"/>
        <v>312782.07999999996</v>
      </c>
    </row>
    <row r="11" spans="1:12">
      <c r="A11" s="699" t="s">
        <v>864</v>
      </c>
      <c r="B11" s="700">
        <v>1</v>
      </c>
      <c r="C11" s="701" t="s">
        <v>869</v>
      </c>
      <c r="D11" s="700" t="s">
        <v>866</v>
      </c>
      <c r="E11" s="702">
        <v>18023.060000000001</v>
      </c>
      <c r="F11" s="702">
        <v>505139.27</v>
      </c>
      <c r="G11" s="702">
        <v>2923716.94</v>
      </c>
      <c r="H11" s="703">
        <f t="shared" si="0"/>
        <v>3446879.27</v>
      </c>
      <c r="I11" s="702">
        <v>16337.44</v>
      </c>
      <c r="J11" s="702">
        <v>144038.67000000001</v>
      </c>
      <c r="K11" s="702">
        <v>54855.62</v>
      </c>
      <c r="L11" s="704">
        <f t="shared" si="1"/>
        <v>215231.73</v>
      </c>
    </row>
    <row r="12" spans="1:12">
      <c r="A12" s="699" t="s">
        <v>864</v>
      </c>
      <c r="B12" s="700">
        <v>1</v>
      </c>
      <c r="C12" s="701" t="s">
        <v>870</v>
      </c>
      <c r="D12" s="700" t="s">
        <v>866</v>
      </c>
      <c r="E12" s="702">
        <v>26553.23</v>
      </c>
      <c r="F12" s="702">
        <v>770737.83</v>
      </c>
      <c r="G12" s="702">
        <v>1009238.26</v>
      </c>
      <c r="H12" s="703">
        <f t="shared" si="0"/>
        <v>1806529.3199999998</v>
      </c>
      <c r="I12" s="702">
        <v>29861.1</v>
      </c>
      <c r="J12" s="702">
        <v>209426.14</v>
      </c>
      <c r="K12" s="702">
        <v>46615.72</v>
      </c>
      <c r="L12" s="704">
        <f t="shared" si="1"/>
        <v>285902.96000000002</v>
      </c>
    </row>
    <row r="13" spans="1:12">
      <c r="A13" s="699" t="s">
        <v>864</v>
      </c>
      <c r="B13" s="700">
        <v>1</v>
      </c>
      <c r="C13" s="701" t="s">
        <v>864</v>
      </c>
      <c r="D13" s="700" t="s">
        <v>866</v>
      </c>
      <c r="E13" s="702">
        <v>0</v>
      </c>
      <c r="F13" s="702">
        <v>959234.48</v>
      </c>
      <c r="G13" s="702">
        <v>1408155.28</v>
      </c>
      <c r="H13" s="703">
        <f t="shared" si="0"/>
        <v>2367389.7599999998</v>
      </c>
      <c r="I13" s="702">
        <v>0</v>
      </c>
      <c r="J13" s="702">
        <v>255038.59</v>
      </c>
      <c r="K13" s="702">
        <v>54855.62</v>
      </c>
      <c r="L13" s="704">
        <f t="shared" si="1"/>
        <v>309894.21000000002</v>
      </c>
    </row>
    <row r="14" spans="1:12">
      <c r="A14" s="699" t="s">
        <v>864</v>
      </c>
      <c r="B14" s="700">
        <v>1</v>
      </c>
      <c r="C14" s="701" t="s">
        <v>871</v>
      </c>
      <c r="D14" s="700" t="s">
        <v>866</v>
      </c>
      <c r="E14" s="702">
        <v>0</v>
      </c>
      <c r="F14" s="702">
        <v>1069085.6100000001</v>
      </c>
      <c r="G14" s="702">
        <v>1763648.07</v>
      </c>
      <c r="H14" s="703">
        <f t="shared" si="0"/>
        <v>2832733.68</v>
      </c>
      <c r="I14" s="702">
        <v>0</v>
      </c>
      <c r="J14" s="702">
        <v>209426.14</v>
      </c>
      <c r="K14" s="702">
        <v>54855.62</v>
      </c>
      <c r="L14" s="704">
        <f t="shared" si="1"/>
        <v>264281.76</v>
      </c>
    </row>
    <row r="15" spans="1:12" ht="15.75" thickBot="1">
      <c r="A15" s="705" t="s">
        <v>864</v>
      </c>
      <c r="B15" s="706">
        <v>1</v>
      </c>
      <c r="C15" s="707" t="s">
        <v>872</v>
      </c>
      <c r="D15" s="706" t="s">
        <v>866</v>
      </c>
      <c r="E15" s="708">
        <v>35321.07</v>
      </c>
      <c r="F15" s="708">
        <v>599934.25537183986</v>
      </c>
      <c r="G15" s="708">
        <v>2809742</v>
      </c>
      <c r="H15" s="709">
        <f t="shared" si="0"/>
        <v>3444997.32537184</v>
      </c>
      <c r="I15" s="708">
        <v>33778.839999999997</v>
      </c>
      <c r="J15" s="708">
        <v>170287.17</v>
      </c>
      <c r="K15" s="708">
        <v>114450.53</v>
      </c>
      <c r="L15" s="710">
        <f t="shared" si="1"/>
        <v>318516.54000000004</v>
      </c>
    </row>
    <row r="16" spans="1:12" ht="15.75" thickBot="1">
      <c r="A16" s="711" t="s">
        <v>864</v>
      </c>
      <c r="B16" s="712">
        <v>1</v>
      </c>
      <c r="C16" s="713" t="s">
        <v>873</v>
      </c>
      <c r="D16" s="712" t="s">
        <v>874</v>
      </c>
      <c r="E16" s="714">
        <f t="shared" ref="E16:L16" si="2">SUM(E8:E15)</f>
        <v>97920.44</v>
      </c>
      <c r="F16" s="714">
        <f t="shared" si="2"/>
        <v>6298294.4703718405</v>
      </c>
      <c r="G16" s="714">
        <f t="shared" si="2"/>
        <v>22879397.440000001</v>
      </c>
      <c r="H16" s="715">
        <f t="shared" si="2"/>
        <v>29275612.350371838</v>
      </c>
      <c r="I16" s="714">
        <f t="shared" si="2"/>
        <v>96314.819999999992</v>
      </c>
      <c r="J16" s="714">
        <f t="shared" si="2"/>
        <v>1650098.3599999999</v>
      </c>
      <c r="K16" s="714">
        <f t="shared" si="2"/>
        <v>621006.47</v>
      </c>
      <c r="L16" s="716">
        <f t="shared" si="2"/>
        <v>2367419.65</v>
      </c>
    </row>
    <row r="17" spans="1:12" ht="15.75" thickBot="1"/>
    <row r="18" spans="1:12">
      <c r="A18" s="693" t="s">
        <v>875</v>
      </c>
      <c r="B18" s="694">
        <v>2</v>
      </c>
      <c r="C18" s="695" t="s">
        <v>876</v>
      </c>
      <c r="D18" s="694" t="s">
        <v>866</v>
      </c>
      <c r="E18" s="696">
        <v>18023.080000000002</v>
      </c>
      <c r="F18" s="696">
        <v>260605.02</v>
      </c>
      <c r="G18" s="696">
        <v>750226.18</v>
      </c>
      <c r="H18" s="697">
        <f>SUM(E18:G18)</f>
        <v>1028854.28</v>
      </c>
      <c r="I18" s="696">
        <v>16337.44</v>
      </c>
      <c r="J18" s="696">
        <v>117790.17</v>
      </c>
      <c r="K18" s="696">
        <v>46615.72</v>
      </c>
      <c r="L18" s="698">
        <f t="shared" si="1"/>
        <v>180743.33</v>
      </c>
    </row>
    <row r="19" spans="1:12">
      <c r="A19" s="699" t="s">
        <v>875</v>
      </c>
      <c r="B19" s="700">
        <v>2</v>
      </c>
      <c r="C19" s="701" t="s">
        <v>877</v>
      </c>
      <c r="D19" s="700" t="s">
        <v>866</v>
      </c>
      <c r="E19" s="702">
        <v>18023.060000000001</v>
      </c>
      <c r="F19" s="702">
        <v>1229005.55</v>
      </c>
      <c r="G19" s="702">
        <v>1295461.6299999999</v>
      </c>
      <c r="H19" s="717">
        <f t="shared" ref="H19:H24" si="3">SUM(E19:G19)</f>
        <v>2542490.2400000002</v>
      </c>
      <c r="I19" s="702">
        <v>16337.44</v>
      </c>
      <c r="J19" s="702">
        <v>242847.94</v>
      </c>
      <c r="K19" s="702">
        <v>51578.32</v>
      </c>
      <c r="L19" s="704">
        <f t="shared" si="1"/>
        <v>310763.7</v>
      </c>
    </row>
    <row r="20" spans="1:12">
      <c r="A20" s="699" t="s">
        <v>875</v>
      </c>
      <c r="B20" s="700">
        <v>2</v>
      </c>
      <c r="C20" s="701" t="s">
        <v>878</v>
      </c>
      <c r="D20" s="700" t="s">
        <v>866</v>
      </c>
      <c r="E20" s="702">
        <v>0</v>
      </c>
      <c r="F20" s="702">
        <v>1305858.6299999999</v>
      </c>
      <c r="G20" s="702">
        <v>2893431.17</v>
      </c>
      <c r="H20" s="717">
        <f t="shared" si="3"/>
        <v>4199289.8</v>
      </c>
      <c r="I20" s="702">
        <v>0</v>
      </c>
      <c r="J20" s="702">
        <v>341413.58</v>
      </c>
      <c r="K20" s="702">
        <v>109488.41</v>
      </c>
      <c r="L20" s="704">
        <f t="shared" si="1"/>
        <v>450901.99</v>
      </c>
    </row>
    <row r="21" spans="1:12">
      <c r="A21" s="699" t="s">
        <v>875</v>
      </c>
      <c r="B21" s="700">
        <v>2</v>
      </c>
      <c r="C21" s="701" t="s">
        <v>879</v>
      </c>
      <c r="D21" s="700" t="s">
        <v>866</v>
      </c>
      <c r="E21" s="702">
        <v>18023.03</v>
      </c>
      <c r="F21" s="702">
        <v>924331.66</v>
      </c>
      <c r="G21" s="702">
        <v>1828943.27</v>
      </c>
      <c r="H21" s="717">
        <f t="shared" si="3"/>
        <v>2771297.96</v>
      </c>
      <c r="I21" s="702">
        <v>16337.44</v>
      </c>
      <c r="J21" s="702">
        <v>228790.09</v>
      </c>
      <c r="K21" s="702">
        <v>57856.86</v>
      </c>
      <c r="L21" s="704">
        <f t="shared" si="1"/>
        <v>302984.39</v>
      </c>
    </row>
    <row r="22" spans="1:12">
      <c r="A22" s="699" t="s">
        <v>875</v>
      </c>
      <c r="B22" s="700">
        <v>2</v>
      </c>
      <c r="C22" s="701" t="s">
        <v>880</v>
      </c>
      <c r="D22" s="700" t="s">
        <v>866</v>
      </c>
      <c r="E22" s="702">
        <v>18023.080000000002</v>
      </c>
      <c r="F22" s="702">
        <v>694869.01</v>
      </c>
      <c r="G22" s="702">
        <v>3146647.416037994</v>
      </c>
      <c r="H22" s="717">
        <f t="shared" si="3"/>
        <v>3859539.5060379938</v>
      </c>
      <c r="I22" s="702">
        <v>16337.44</v>
      </c>
      <c r="J22" s="702">
        <v>209426.14</v>
      </c>
      <c r="K22" s="702">
        <v>57856.86</v>
      </c>
      <c r="L22" s="704">
        <f t="shared" si="1"/>
        <v>283620.44</v>
      </c>
    </row>
    <row r="23" spans="1:12">
      <c r="A23" s="699" t="s">
        <v>875</v>
      </c>
      <c r="B23" s="700">
        <v>2</v>
      </c>
      <c r="C23" s="701" t="s">
        <v>881</v>
      </c>
      <c r="D23" s="700" t="s">
        <v>866</v>
      </c>
      <c r="E23" s="702">
        <v>21757.200000000001</v>
      </c>
      <c r="F23" s="702">
        <v>595036.17000000004</v>
      </c>
      <c r="G23" s="702">
        <v>2135930.11</v>
      </c>
      <c r="H23" s="717">
        <f t="shared" si="3"/>
        <v>2752723.48</v>
      </c>
      <c r="I23" s="702">
        <v>28093.599999999999</v>
      </c>
      <c r="J23" s="702">
        <v>157162.92000000001</v>
      </c>
      <c r="K23" s="702">
        <v>57856.86</v>
      </c>
      <c r="L23" s="704">
        <f t="shared" si="1"/>
        <v>243113.38</v>
      </c>
    </row>
    <row r="24" spans="1:12" ht="15.75" thickBot="1">
      <c r="A24" s="705" t="s">
        <v>875</v>
      </c>
      <c r="B24" s="706">
        <v>2</v>
      </c>
      <c r="C24" s="707" t="s">
        <v>882</v>
      </c>
      <c r="D24" s="706" t="s">
        <v>866</v>
      </c>
      <c r="E24" s="708">
        <v>0</v>
      </c>
      <c r="F24" s="708">
        <v>337987.88</v>
      </c>
      <c r="G24" s="708">
        <v>1634188.56</v>
      </c>
      <c r="H24" s="718">
        <f t="shared" si="3"/>
        <v>1972176.44</v>
      </c>
      <c r="I24" s="708">
        <v>0</v>
      </c>
      <c r="J24" s="708">
        <v>117790.17</v>
      </c>
      <c r="K24" s="708">
        <v>46615.72</v>
      </c>
      <c r="L24" s="710">
        <f t="shared" si="1"/>
        <v>164405.89000000001</v>
      </c>
    </row>
    <row r="25" spans="1:12" ht="15.75" thickBot="1">
      <c r="A25" s="711" t="s">
        <v>875</v>
      </c>
      <c r="B25" s="712">
        <v>2</v>
      </c>
      <c r="C25" s="713" t="s">
        <v>873</v>
      </c>
      <c r="D25" s="712" t="s">
        <v>874</v>
      </c>
      <c r="E25" s="714">
        <f t="shared" ref="E25:L25" si="4">SUM(E18:E24)</f>
        <v>93849.45</v>
      </c>
      <c r="F25" s="714">
        <f t="shared" si="4"/>
        <v>5347693.92</v>
      </c>
      <c r="G25" s="714">
        <f t="shared" si="4"/>
        <v>13684828.336037993</v>
      </c>
      <c r="H25" s="715">
        <f t="shared" si="4"/>
        <v>19126371.706037994</v>
      </c>
      <c r="I25" s="714">
        <f t="shared" si="4"/>
        <v>93443.36</v>
      </c>
      <c r="J25" s="714">
        <f t="shared" si="4"/>
        <v>1415221.0099999998</v>
      </c>
      <c r="K25" s="714">
        <f t="shared" si="4"/>
        <v>427868.75</v>
      </c>
      <c r="L25" s="716">
        <f t="shared" si="4"/>
        <v>1936533.12</v>
      </c>
    </row>
    <row r="26" spans="1:12" ht="15.75" thickBot="1"/>
    <row r="27" spans="1:12">
      <c r="A27" s="693" t="s">
        <v>883</v>
      </c>
      <c r="B27" s="694">
        <v>1</v>
      </c>
      <c r="C27" s="694" t="s">
        <v>884</v>
      </c>
      <c r="D27" s="694" t="s">
        <v>885</v>
      </c>
      <c r="E27" s="696">
        <f>14245.1222*(1+0.2644)</f>
        <v>18011.532509680001</v>
      </c>
      <c r="F27" s="696">
        <f>375059.66*(1+0.2644)</f>
        <v>474225.43410399993</v>
      </c>
      <c r="G27" s="696">
        <f>343827.36*(1+0.2644)</f>
        <v>434735.31398399995</v>
      </c>
      <c r="H27" s="697">
        <f>SUM(E27:G27)</f>
        <v>926972.2805976799</v>
      </c>
      <c r="I27" s="696">
        <f>28623.49*(1+0.2644)</f>
        <v>36191.540756000002</v>
      </c>
      <c r="J27" s="696">
        <f>132520.94*(1+0.2644)</f>
        <v>167559.476536</v>
      </c>
      <c r="K27" s="696">
        <f>45223.61*(1+0.2644)</f>
        <v>57180.732484</v>
      </c>
      <c r="L27" s="698">
        <f>SUBTOTAL(9,I27:K27)</f>
        <v>260931.74977600001</v>
      </c>
    </row>
    <row r="28" spans="1:12">
      <c r="A28" s="699" t="s">
        <v>883</v>
      </c>
      <c r="B28" s="700">
        <v>1</v>
      </c>
      <c r="C28" s="700" t="s">
        <v>886</v>
      </c>
      <c r="D28" s="700" t="s">
        <v>885</v>
      </c>
      <c r="E28" s="702">
        <v>0</v>
      </c>
      <c r="F28" s="702">
        <f>631435.38*(1+0.2644)</f>
        <v>798386.89447199996</v>
      </c>
      <c r="G28" s="702">
        <f>2308821.11*(1+0.2644)</f>
        <v>2919273.4114839998</v>
      </c>
      <c r="H28" s="717">
        <f t="shared" ref="H28:H30" si="5">SUM(E28:G28)</f>
        <v>3717660.3059559995</v>
      </c>
      <c r="I28" s="702">
        <v>0</v>
      </c>
      <c r="J28" s="702">
        <f>153054.85*(1+0.2644)</f>
        <v>193522.55233999999</v>
      </c>
      <c r="K28" s="702">
        <f>58193.85*(1+0.2644)</f>
        <v>73580.303939999998</v>
      </c>
      <c r="L28" s="704">
        <f t="shared" ref="L28:L30" si="6">SUBTOTAL(9,I28:K28)</f>
        <v>267102.85628000001</v>
      </c>
    </row>
    <row r="29" spans="1:12">
      <c r="A29" s="699" t="s">
        <v>883</v>
      </c>
      <c r="B29" s="700">
        <v>1</v>
      </c>
      <c r="C29" s="700" t="s">
        <v>887</v>
      </c>
      <c r="D29" s="700" t="s">
        <v>885</v>
      </c>
      <c r="E29" s="702">
        <v>0</v>
      </c>
      <c r="F29" s="702">
        <f>472712.6*(1+0.2644)</f>
        <v>597697.81143999996</v>
      </c>
      <c r="G29" s="702">
        <f>2316166.84*(1+0.2644)</f>
        <v>2928561.3524959995</v>
      </c>
      <c r="H29" s="717">
        <f t="shared" si="5"/>
        <v>3526259.1639359994</v>
      </c>
      <c r="I29" s="702">
        <v>0</v>
      </c>
      <c r="J29" s="702">
        <f>166400.35*(1+0.2644)</f>
        <v>210396.60253999999</v>
      </c>
      <c r="K29" s="702">
        <f>56808.76*(1+0.2644)</f>
        <v>71828.996144000004</v>
      </c>
      <c r="L29" s="704">
        <f t="shared" si="6"/>
        <v>282225.59868399997</v>
      </c>
    </row>
    <row r="30" spans="1:12">
      <c r="A30" s="699" t="s">
        <v>883</v>
      </c>
      <c r="B30" s="700">
        <v>1</v>
      </c>
      <c r="C30" s="719" t="s">
        <v>888</v>
      </c>
      <c r="D30" s="700" t="s">
        <v>885</v>
      </c>
      <c r="E30" s="702">
        <v>0</v>
      </c>
      <c r="F30" s="702">
        <f>612906.49*(1+0.2644)</f>
        <v>774958.96595599991</v>
      </c>
      <c r="G30" s="702">
        <f>1554026.33*(1+0.2644)</f>
        <v>1964910.8916520001</v>
      </c>
      <c r="H30" s="717">
        <f t="shared" si="5"/>
        <v>2739869.8576079998</v>
      </c>
      <c r="I30" s="702">
        <v>0</v>
      </c>
      <c r="J30" s="702">
        <f>153054.85*(1+0.2644)</f>
        <v>193522.55233999999</v>
      </c>
      <c r="K30" s="702">
        <f>56808.76*(1+0.2644)</f>
        <v>71828.996144000004</v>
      </c>
      <c r="L30" s="704">
        <f t="shared" si="6"/>
        <v>265351.54848400003</v>
      </c>
    </row>
    <row r="31" spans="1:12" ht="15.75" thickBot="1">
      <c r="A31" s="720" t="s">
        <v>883</v>
      </c>
      <c r="B31" s="721">
        <v>1</v>
      </c>
      <c r="C31" s="721" t="s">
        <v>873</v>
      </c>
      <c r="D31" s="722" t="s">
        <v>874</v>
      </c>
      <c r="E31" s="718">
        <f>SUM(E27:E30)</f>
        <v>18011.532509680001</v>
      </c>
      <c r="F31" s="718">
        <f t="shared" ref="F31:L31" si="7">SUM(F27:F30)</f>
        <v>2645269.1059719995</v>
      </c>
      <c r="G31" s="718">
        <f t="shared" si="7"/>
        <v>8247480.9696159996</v>
      </c>
      <c r="H31" s="723">
        <f>SUM(H27:H30)</f>
        <v>10910761.60809768</v>
      </c>
      <c r="I31" s="718">
        <f t="shared" si="7"/>
        <v>36191.540756000002</v>
      </c>
      <c r="J31" s="718">
        <f t="shared" si="7"/>
        <v>765001.1837559999</v>
      </c>
      <c r="K31" s="718">
        <f t="shared" si="7"/>
        <v>274419.028712</v>
      </c>
      <c r="L31" s="724">
        <f t="shared" si="7"/>
        <v>1075611.7532239999</v>
      </c>
    </row>
    <row r="33" spans="1:12">
      <c r="A33" s="725"/>
      <c r="B33" s="725"/>
      <c r="C33" s="725"/>
      <c r="D33" s="725"/>
      <c r="E33" s="726">
        <f t="shared" ref="E33:L33" si="8">E16+E25+E31</f>
        <v>209781.42250968001</v>
      </c>
      <c r="F33" s="726">
        <f t="shared" si="8"/>
        <v>14291257.49634384</v>
      </c>
      <c r="G33" s="726">
        <f t="shared" si="8"/>
        <v>44811706.745653987</v>
      </c>
      <c r="H33" s="726">
        <f t="shared" si="8"/>
        <v>59312745.664507516</v>
      </c>
      <c r="I33" s="726">
        <f t="shared" si="8"/>
        <v>225949.720756</v>
      </c>
      <c r="J33" s="726">
        <f t="shared" si="8"/>
        <v>3830320.5537559995</v>
      </c>
      <c r="K33" s="726">
        <f t="shared" si="8"/>
        <v>1323294.248712</v>
      </c>
      <c r="L33" s="726">
        <f t="shared" si="8"/>
        <v>5379564.5232239999</v>
      </c>
    </row>
    <row r="34" spans="1:12">
      <c r="H34" s="727">
        <f>H33+L33</f>
        <v>64692310.187731519</v>
      </c>
    </row>
  </sheetData>
  <mergeCells count="1">
    <mergeCell ref="A1:L4"/>
  </mergeCells>
  <printOptions horizontalCentered="1"/>
  <pageMargins left="0.51181102362204722" right="0.51181102362204722" top="0.78740157480314965" bottom="0.78740157480314965" header="0.31496062992125984" footer="0.31496062992125984"/>
  <pageSetup paperSize="9" scale="66" fitToHeight="0" orientation="landscape" r:id="rId1"/>
  <headerFooter>
    <oddFooter>&amp;L&amp;F&amp;C&amp;A&amp;R&amp;P/&amp;N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K58"/>
  <sheetViews>
    <sheetView workbookViewId="0">
      <selection activeCell="E40" sqref="E40"/>
    </sheetView>
  </sheetViews>
  <sheetFormatPr defaultRowHeight="12.75"/>
  <cols>
    <col min="1" max="1" width="9" style="353"/>
    <col min="2" max="2" width="49.875" style="353" bestFit="1" customWidth="1"/>
    <col min="3" max="3" width="10.5" style="353" bestFit="1" customWidth="1"/>
    <col min="4" max="4" width="10.625" style="353" customWidth="1"/>
    <col min="5" max="5" width="12.625" style="353" customWidth="1"/>
    <col min="6" max="6" width="11.125" style="353" customWidth="1"/>
    <col min="7" max="7" width="12.25" style="353" bestFit="1" customWidth="1"/>
    <col min="8" max="8" width="9.875" style="353" bestFit="1" customWidth="1"/>
    <col min="9" max="12" width="11.125" style="353" customWidth="1"/>
    <col min="13" max="16384" width="9" style="353"/>
  </cols>
  <sheetData>
    <row r="1" spans="1:10" s="343" customFormat="1" ht="39.950000000000003" customHeight="1">
      <c r="A1" s="988" t="s">
        <v>622</v>
      </c>
      <c r="B1" s="988"/>
      <c r="C1" s="988"/>
      <c r="D1" s="988"/>
      <c r="E1" s="988"/>
      <c r="F1" s="988"/>
      <c r="G1" s="988"/>
      <c r="H1" s="988"/>
    </row>
    <row r="2" spans="1:10" ht="20.100000000000001" customHeight="1">
      <c r="A2" s="352"/>
      <c r="B2" s="989"/>
      <c r="C2" s="989"/>
      <c r="D2" s="989"/>
      <c r="E2" s="989"/>
      <c r="F2" s="989"/>
      <c r="G2" s="344"/>
      <c r="H2" s="345"/>
    </row>
    <row r="3" spans="1:10" ht="15.6" customHeight="1">
      <c r="A3" s="346"/>
      <c r="B3" s="442" t="s">
        <v>411</v>
      </c>
      <c r="C3" s="441">
        <v>12</v>
      </c>
      <c r="D3" s="441" t="s">
        <v>27</v>
      </c>
      <c r="E3" s="441">
        <v>160</v>
      </c>
      <c r="F3" s="440" t="s">
        <v>160</v>
      </c>
      <c r="G3" s="344" t="s">
        <v>210</v>
      </c>
      <c r="H3" s="625">
        <v>44146</v>
      </c>
    </row>
    <row r="4" spans="1:10" ht="9.9499999999999993" customHeight="1">
      <c r="F4" s="356"/>
      <c r="G4" s="357"/>
    </row>
    <row r="5" spans="1:10" ht="15" customHeight="1">
      <c r="A5" s="990" t="s">
        <v>285</v>
      </c>
      <c r="B5" s="991" t="s">
        <v>211</v>
      </c>
      <c r="C5" s="1001" t="s">
        <v>212</v>
      </c>
      <c r="D5" s="1002"/>
      <c r="E5" s="358" t="s">
        <v>213</v>
      </c>
      <c r="F5" s="1003" t="s">
        <v>214</v>
      </c>
      <c r="G5" s="1003" t="s">
        <v>215</v>
      </c>
      <c r="H5" s="1005" t="s">
        <v>216</v>
      </c>
    </row>
    <row r="6" spans="1:10" ht="15" customHeight="1">
      <c r="A6" s="990"/>
      <c r="B6" s="991"/>
      <c r="C6" s="359" t="s">
        <v>217</v>
      </c>
      <c r="D6" s="360" t="s">
        <v>218</v>
      </c>
      <c r="E6" s="361" t="s">
        <v>219</v>
      </c>
      <c r="F6" s="1003"/>
      <c r="G6" s="1004"/>
      <c r="H6" s="1005"/>
    </row>
    <row r="7" spans="1:10" ht="20.100000000000001" customHeight="1">
      <c r="A7" s="362">
        <v>1</v>
      </c>
      <c r="B7" s="363" t="s">
        <v>220</v>
      </c>
      <c r="C7" s="364"/>
      <c r="D7" s="365"/>
      <c r="E7" s="365"/>
      <c r="F7" s="364"/>
      <c r="G7" s="366">
        <f>SUM(G8:G12)</f>
        <v>991303.87256110995</v>
      </c>
      <c r="H7" s="367">
        <f>SUM(H8:H12)</f>
        <v>0.81780794014805569</v>
      </c>
    </row>
    <row r="8" spans="1:10" ht="20.100000000000001" customHeight="1">
      <c r="A8" s="368" t="s">
        <v>221</v>
      </c>
      <c r="B8" s="369" t="s">
        <v>625</v>
      </c>
      <c r="C8" s="370">
        <v>14505.08</v>
      </c>
      <c r="D8" s="371">
        <f>C8/$E$3</f>
        <v>90.656750000000002</v>
      </c>
      <c r="E8" s="548">
        <f>$C$3*$E$3</f>
        <v>1920</v>
      </c>
      <c r="F8" s="371">
        <f>D8*E8</f>
        <v>174060.96</v>
      </c>
      <c r="G8" s="371">
        <f>F8*$H$43</f>
        <v>439505.25965144805</v>
      </c>
      <c r="H8" s="373">
        <f>G8/$G$29</f>
        <v>0.36258396746818883</v>
      </c>
    </row>
    <row r="9" spans="1:10" ht="20.100000000000001" customHeight="1">
      <c r="A9" s="368" t="s">
        <v>221</v>
      </c>
      <c r="B9" s="369" t="s">
        <v>628</v>
      </c>
      <c r="C9" s="370">
        <v>5015.7</v>
      </c>
      <c r="D9" s="371">
        <f t="shared" ref="D9:D12" si="0">C9/$E$3</f>
        <v>31.348125</v>
      </c>
      <c r="E9" s="548">
        <f t="shared" ref="E9:E12" si="1">$C$3*$E$3</f>
        <v>1920</v>
      </c>
      <c r="F9" s="371">
        <f>D9*E9</f>
        <v>60188.4</v>
      </c>
      <c r="G9" s="371">
        <f>F9*$H$43</f>
        <v>151976.17185384489</v>
      </c>
      <c r="H9" s="373">
        <f>G9/$G$29</f>
        <v>0.12537761981527817</v>
      </c>
      <c r="J9" s="374"/>
    </row>
    <row r="10" spans="1:10" ht="20.100000000000001" customHeight="1">
      <c r="A10" s="368" t="s">
        <v>221</v>
      </c>
      <c r="B10" s="369" t="s">
        <v>628</v>
      </c>
      <c r="C10" s="370">
        <v>5015.7</v>
      </c>
      <c r="D10" s="371">
        <f t="shared" si="0"/>
        <v>31.348125</v>
      </c>
      <c r="E10" s="548">
        <f t="shared" si="1"/>
        <v>1920</v>
      </c>
      <c r="F10" s="371">
        <f>D10*E10</f>
        <v>60188.4</v>
      </c>
      <c r="G10" s="371">
        <f>F10*$H$43</f>
        <v>151976.17185384489</v>
      </c>
      <c r="H10" s="373">
        <f>G10/$G$29</f>
        <v>0.12537761981527817</v>
      </c>
    </row>
    <row r="11" spans="1:10" ht="20.100000000000001" customHeight="1">
      <c r="A11" s="368" t="s">
        <v>221</v>
      </c>
      <c r="B11" s="369" t="s">
        <v>620</v>
      </c>
      <c r="C11" s="370">
        <v>5015.7</v>
      </c>
      <c r="D11" s="371">
        <f t="shared" si="0"/>
        <v>31.348125</v>
      </c>
      <c r="E11" s="548">
        <f t="shared" si="1"/>
        <v>1920</v>
      </c>
      <c r="F11" s="371">
        <f>D11*E11</f>
        <v>60188.4</v>
      </c>
      <c r="G11" s="371">
        <f>F11*$H$43</f>
        <v>151976.17185384489</v>
      </c>
      <c r="H11" s="373">
        <f>G11/$G$29</f>
        <v>0.12537761981527817</v>
      </c>
    </row>
    <row r="12" spans="1:10" ht="20.100000000000001" customHeight="1">
      <c r="A12" s="368" t="s">
        <v>221</v>
      </c>
      <c r="B12" s="369" t="s">
        <v>621</v>
      </c>
      <c r="C12" s="370">
        <v>3164.02</v>
      </c>
      <c r="D12" s="371">
        <f t="shared" si="0"/>
        <v>19.775124999999999</v>
      </c>
      <c r="E12" s="548">
        <f t="shared" si="1"/>
        <v>1920</v>
      </c>
      <c r="F12" s="371">
        <f>D12*E12</f>
        <v>37968.239999999998</v>
      </c>
      <c r="G12" s="371">
        <f>F12*$H$43</f>
        <v>95870.097348127325</v>
      </c>
      <c r="H12" s="373">
        <f>G12/$G$29</f>
        <v>7.9091113234032409E-2</v>
      </c>
    </row>
    <row r="13" spans="1:10" ht="6" customHeight="1">
      <c r="A13" s="368"/>
      <c r="B13" s="375"/>
      <c r="C13" s="370"/>
      <c r="D13" s="368"/>
      <c r="E13" s="370"/>
      <c r="F13" s="371"/>
      <c r="G13" s="376"/>
      <c r="H13" s="377"/>
      <c r="I13" s="378"/>
    </row>
    <row r="14" spans="1:10" ht="15" customHeight="1">
      <c r="A14" s="990" t="s">
        <v>285</v>
      </c>
      <c r="B14" s="995" t="s">
        <v>211</v>
      </c>
      <c r="C14" s="996" t="s">
        <v>224</v>
      </c>
      <c r="D14" s="384" t="s">
        <v>170</v>
      </c>
      <c r="E14" s="385" t="s">
        <v>169</v>
      </c>
      <c r="F14" s="384" t="s">
        <v>225</v>
      </c>
      <c r="G14" s="997" t="s">
        <v>226</v>
      </c>
      <c r="H14" s="998" t="s">
        <v>216</v>
      </c>
    </row>
    <row r="15" spans="1:10" ht="15" customHeight="1">
      <c r="A15" s="990"/>
      <c r="B15" s="995"/>
      <c r="C15" s="996"/>
      <c r="D15" s="386" t="s">
        <v>63</v>
      </c>
      <c r="E15" s="386" t="s">
        <v>173</v>
      </c>
      <c r="F15" s="387" t="s">
        <v>173</v>
      </c>
      <c r="G15" s="996"/>
      <c r="H15" s="998"/>
    </row>
    <row r="16" spans="1:10" ht="20.100000000000001" customHeight="1">
      <c r="A16" s="362">
        <v>3</v>
      </c>
      <c r="B16" s="363" t="s">
        <v>393</v>
      </c>
      <c r="C16" s="364"/>
      <c r="D16" s="365"/>
      <c r="E16" s="365"/>
      <c r="F16" s="364"/>
      <c r="G16" s="366">
        <f>G17</f>
        <v>133887.04793002916</v>
      </c>
      <c r="H16" s="367">
        <f>H17</f>
        <v>0.11045441656277934</v>
      </c>
    </row>
    <row r="17" spans="1:8" ht="20.100000000000001" customHeight="1">
      <c r="A17" s="388"/>
      <c r="B17" s="389" t="s">
        <v>618</v>
      </c>
      <c r="C17" s="390"/>
      <c r="D17" s="388"/>
      <c r="E17" s="391"/>
      <c r="F17" s="392"/>
      <c r="G17" s="393">
        <f>G18</f>
        <v>133887.04793002916</v>
      </c>
      <c r="H17" s="394">
        <f>SUM(H18:H18)</f>
        <v>0.11045441656277934</v>
      </c>
    </row>
    <row r="18" spans="1:8" ht="20.100000000000001" customHeight="1">
      <c r="A18" s="368"/>
      <c r="B18" s="369" t="s">
        <v>619</v>
      </c>
      <c r="C18" s="371" t="s">
        <v>380</v>
      </c>
      <c r="D18" s="371">
        <v>1500</v>
      </c>
      <c r="E18" s="371">
        <v>60</v>
      </c>
      <c r="F18" s="371">
        <f t="shared" ref="F18" si="2">D18*E18</f>
        <v>90000</v>
      </c>
      <c r="G18" s="371">
        <f>F18*$H$45</f>
        <v>133887.04793002916</v>
      </c>
      <c r="H18" s="373">
        <f>G18/$G$29</f>
        <v>0.11045441656277934</v>
      </c>
    </row>
    <row r="19" spans="1:8" ht="6" customHeight="1">
      <c r="A19" s="347"/>
      <c r="B19" s="348"/>
      <c r="C19" s="370"/>
      <c r="D19" s="399"/>
      <c r="E19" s="400"/>
      <c r="F19" s="401"/>
      <c r="G19" s="370"/>
      <c r="H19" s="373"/>
    </row>
    <row r="20" spans="1:8" ht="15" customHeight="1">
      <c r="A20" s="990" t="s">
        <v>285</v>
      </c>
      <c r="B20" s="995" t="s">
        <v>211</v>
      </c>
      <c r="C20" s="996" t="s">
        <v>224</v>
      </c>
      <c r="D20" s="384" t="s">
        <v>170</v>
      </c>
      <c r="E20" s="385" t="s">
        <v>169</v>
      </c>
      <c r="F20" s="384" t="s">
        <v>225</v>
      </c>
      <c r="G20" s="997" t="s">
        <v>226</v>
      </c>
      <c r="H20" s="998" t="s">
        <v>216</v>
      </c>
    </row>
    <row r="21" spans="1:8" ht="15" customHeight="1">
      <c r="A21" s="990"/>
      <c r="B21" s="995"/>
      <c r="C21" s="996"/>
      <c r="D21" s="386" t="s">
        <v>63</v>
      </c>
      <c r="E21" s="386" t="s">
        <v>173</v>
      </c>
      <c r="F21" s="387" t="s">
        <v>173</v>
      </c>
      <c r="G21" s="996"/>
      <c r="H21" s="998"/>
    </row>
    <row r="22" spans="1:8" ht="20.100000000000001" customHeight="1">
      <c r="A22" s="362">
        <v>4</v>
      </c>
      <c r="B22" s="363" t="s">
        <v>227</v>
      </c>
      <c r="C22" s="364"/>
      <c r="D22" s="365"/>
      <c r="E22" s="365"/>
      <c r="F22" s="364"/>
      <c r="G22" s="366">
        <f>SUM(G23:G28)</f>
        <v>86956.606936443146</v>
      </c>
      <c r="H22" s="367">
        <f>SUM(H23:H28)</f>
        <v>7.1737643289164918E-2</v>
      </c>
    </row>
    <row r="23" spans="1:8" ht="20.100000000000001" customHeight="1">
      <c r="A23" s="368" t="s">
        <v>221</v>
      </c>
      <c r="B23" s="402" t="s">
        <v>387</v>
      </c>
      <c r="C23" s="403" t="s">
        <v>391</v>
      </c>
      <c r="D23" s="396">
        <v>12</v>
      </c>
      <c r="E23" s="395">
        <v>3561.89</v>
      </c>
      <c r="F23" s="371">
        <f t="shared" ref="F23:F28" si="3">D23*E23</f>
        <v>42742.68</v>
      </c>
      <c r="G23" s="371">
        <f>F23*$H$46</f>
        <v>54212.173490379006</v>
      </c>
      <c r="H23" s="373">
        <f t="shared" ref="H23:H28" si="4">G23/$G$29</f>
        <v>4.4724072164242255E-2</v>
      </c>
    </row>
    <row r="24" spans="1:8" ht="20.100000000000001" customHeight="1">
      <c r="A24" s="368"/>
      <c r="B24" s="404" t="s">
        <v>388</v>
      </c>
      <c r="C24" s="395" t="s">
        <v>284</v>
      </c>
      <c r="D24" s="396">
        <v>60</v>
      </c>
      <c r="E24" s="395">
        <v>5</v>
      </c>
      <c r="F24" s="371">
        <f t="shared" si="3"/>
        <v>300</v>
      </c>
      <c r="G24" s="371">
        <f t="shared" ref="G24:G28" si="5">F24*$H$46</f>
        <v>380.50145772594749</v>
      </c>
      <c r="H24" s="373">
        <f t="shared" si="4"/>
        <v>3.1390688766527215E-4</v>
      </c>
    </row>
    <row r="25" spans="1:8" ht="20.100000000000001" customHeight="1">
      <c r="A25" s="368"/>
      <c r="B25" s="404" t="s">
        <v>389</v>
      </c>
      <c r="C25" s="395" t="s">
        <v>63</v>
      </c>
      <c r="D25" s="396">
        <v>2300</v>
      </c>
      <c r="E25" s="395">
        <v>0.3</v>
      </c>
      <c r="F25" s="371">
        <f t="shared" si="3"/>
        <v>690</v>
      </c>
      <c r="G25" s="371">
        <f t="shared" si="5"/>
        <v>875.15335276967915</v>
      </c>
      <c r="H25" s="373">
        <f t="shared" si="4"/>
        <v>7.2198584163012591E-4</v>
      </c>
    </row>
    <row r="26" spans="1:8" ht="20.100000000000001" customHeight="1">
      <c r="A26" s="368"/>
      <c r="B26" s="404" t="s">
        <v>390</v>
      </c>
      <c r="C26" s="395" t="s">
        <v>63</v>
      </c>
      <c r="D26" s="396">
        <v>12</v>
      </c>
      <c r="E26" s="395">
        <v>18.899999999999999</v>
      </c>
      <c r="F26" s="371">
        <f t="shared" si="3"/>
        <v>226.79999999999998</v>
      </c>
      <c r="G26" s="371">
        <f t="shared" si="5"/>
        <v>287.65910204081626</v>
      </c>
      <c r="H26" s="373">
        <f t="shared" si="4"/>
        <v>2.3731360707494572E-4</v>
      </c>
    </row>
    <row r="27" spans="1:8" ht="20.100000000000001" customHeight="1">
      <c r="A27" s="368"/>
      <c r="B27" s="404" t="s">
        <v>368</v>
      </c>
      <c r="C27" s="395" t="s">
        <v>63</v>
      </c>
      <c r="D27" s="396">
        <v>0</v>
      </c>
      <c r="E27" s="395">
        <v>30</v>
      </c>
      <c r="F27" s="371">
        <f t="shared" si="3"/>
        <v>0</v>
      </c>
      <c r="G27" s="371">
        <f t="shared" si="5"/>
        <v>0</v>
      </c>
      <c r="H27" s="373">
        <f t="shared" si="4"/>
        <v>0</v>
      </c>
    </row>
    <row r="28" spans="1:8" ht="20.100000000000001" customHeight="1">
      <c r="A28" s="368"/>
      <c r="B28" s="404" t="s">
        <v>283</v>
      </c>
      <c r="C28" s="395" t="s">
        <v>392</v>
      </c>
      <c r="D28" s="396">
        <v>120</v>
      </c>
      <c r="E28" s="395">
        <v>205</v>
      </c>
      <c r="F28" s="371">
        <f t="shared" si="3"/>
        <v>24600</v>
      </c>
      <c r="G28" s="371">
        <f t="shared" si="5"/>
        <v>31201.119533527693</v>
      </c>
      <c r="H28" s="373">
        <f t="shared" si="4"/>
        <v>2.5740364788552315E-2</v>
      </c>
    </row>
    <row r="29" spans="1:8" ht="20.100000000000001" customHeight="1">
      <c r="A29" s="405"/>
      <c r="B29" s="405" t="s">
        <v>228</v>
      </c>
      <c r="C29" s="405"/>
      <c r="D29" s="405"/>
      <c r="E29" s="406"/>
      <c r="F29" s="407"/>
      <c r="G29" s="408">
        <f>G7+G16+G22</f>
        <v>1212147.5274275823</v>
      </c>
      <c r="H29" s="409">
        <f>H7+H17+H22</f>
        <v>0.99999999999999989</v>
      </c>
    </row>
    <row r="30" spans="1:8" ht="6" customHeight="1">
      <c r="A30" s="410"/>
      <c r="B30" s="410"/>
      <c r="C30" s="410"/>
      <c r="D30" s="410"/>
      <c r="E30" s="410"/>
      <c r="F30" s="410"/>
      <c r="G30" s="410"/>
      <c r="H30" s="410"/>
    </row>
    <row r="31" spans="1:8" ht="20.100000000000001" customHeight="1">
      <c r="A31" s="993" t="s">
        <v>229</v>
      </c>
      <c r="B31" s="993"/>
      <c r="C31" s="411"/>
      <c r="D31" s="411"/>
      <c r="E31" s="411"/>
      <c r="F31" s="411"/>
      <c r="G31" s="411"/>
      <c r="H31" s="411"/>
    </row>
    <row r="32" spans="1:8" ht="3" customHeight="1">
      <c r="A32" s="412"/>
      <c r="B32" s="413"/>
      <c r="C32" s="412"/>
      <c r="D32" s="414"/>
      <c r="E32" s="415"/>
      <c r="F32" s="416"/>
      <c r="G32" s="370"/>
      <c r="H32" s="370"/>
    </row>
    <row r="33" spans="1:8">
      <c r="A33" s="417"/>
      <c r="B33" s="417" t="s">
        <v>230</v>
      </c>
      <c r="C33" s="418"/>
      <c r="D33" s="419"/>
      <c r="E33" s="420"/>
      <c r="F33" s="421"/>
      <c r="G33" s="422"/>
      <c r="H33" s="423">
        <v>0.81789999999999996</v>
      </c>
    </row>
    <row r="34" spans="1:8">
      <c r="A34" s="417"/>
      <c r="B34" s="417" t="s">
        <v>231</v>
      </c>
      <c r="C34" s="418"/>
      <c r="D34" s="419"/>
      <c r="E34" s="420"/>
      <c r="F34" s="421"/>
      <c r="G34" s="422"/>
      <c r="H34" s="423">
        <v>0.2</v>
      </c>
    </row>
    <row r="35" spans="1:8">
      <c r="A35" s="424"/>
      <c r="B35" s="424" t="s">
        <v>232</v>
      </c>
      <c r="C35" s="424"/>
      <c r="D35" s="419"/>
      <c r="E35" s="420"/>
      <c r="F35" s="421"/>
      <c r="G35" s="422"/>
      <c r="H35" s="423">
        <v>0.1729</v>
      </c>
    </row>
    <row r="36" spans="1:8">
      <c r="A36" s="424"/>
      <c r="B36" s="424" t="s">
        <v>233</v>
      </c>
      <c r="C36" s="424"/>
      <c r="D36" s="419"/>
      <c r="E36" s="420"/>
      <c r="F36" s="421"/>
      <c r="G36" s="422"/>
      <c r="H36" s="423">
        <v>8.7599999999999997E-2</v>
      </c>
    </row>
    <row r="37" spans="1:8">
      <c r="A37" s="424"/>
      <c r="B37" s="424" t="s">
        <v>234</v>
      </c>
      <c r="C37" s="424"/>
      <c r="D37" s="419"/>
      <c r="E37" s="420"/>
      <c r="F37" s="421"/>
      <c r="G37" s="422"/>
      <c r="H37" s="423">
        <f>(1/(1-(C39+C40+C41)))-1</f>
        <v>0.16618075801749277</v>
      </c>
    </row>
    <row r="38" spans="1:8">
      <c r="A38" s="425"/>
      <c r="B38" s="425" t="s">
        <v>235</v>
      </c>
      <c r="C38" s="417"/>
      <c r="D38" s="419"/>
      <c r="E38" s="420"/>
      <c r="F38" s="421"/>
      <c r="G38" s="422"/>
      <c r="H38" s="423"/>
    </row>
    <row r="39" spans="1:8">
      <c r="A39" s="417"/>
      <c r="B39" s="417" t="s">
        <v>236</v>
      </c>
      <c r="C39" s="426">
        <v>1.6500000000000001E-2</v>
      </c>
      <c r="D39" s="419"/>
      <c r="E39" s="420"/>
      <c r="F39" s="421"/>
      <c r="G39" s="422"/>
      <c r="H39" s="427"/>
    </row>
    <row r="40" spans="1:8">
      <c r="A40" s="417"/>
      <c r="B40" s="417" t="s">
        <v>237</v>
      </c>
      <c r="C40" s="426">
        <v>7.5999999999999998E-2</v>
      </c>
      <c r="D40" s="419"/>
      <c r="E40" s="420"/>
      <c r="F40" s="421"/>
      <c r="G40" s="422"/>
      <c r="H40" s="427"/>
    </row>
    <row r="41" spans="1:8">
      <c r="A41" s="417"/>
      <c r="B41" s="417" t="s">
        <v>238</v>
      </c>
      <c r="C41" s="426">
        <v>0.05</v>
      </c>
      <c r="D41" s="419"/>
      <c r="E41" s="420"/>
      <c r="F41" s="421"/>
      <c r="G41" s="422"/>
      <c r="H41" s="427"/>
    </row>
    <row r="42" spans="1:8" ht="3" customHeight="1">
      <c r="A42" s="412"/>
      <c r="B42" s="428"/>
      <c r="C42" s="429"/>
      <c r="D42" s="430"/>
      <c r="E42" s="415"/>
      <c r="F42" s="428"/>
      <c r="G42" s="370"/>
      <c r="H42" s="414"/>
    </row>
    <row r="43" spans="1:8">
      <c r="A43" s="431" t="s">
        <v>239</v>
      </c>
      <c r="B43" s="432" t="str">
        <f>B7</f>
        <v>EQUIPE TÉCNICA PERMANENTE</v>
      </c>
      <c r="C43" s="994" t="s">
        <v>240</v>
      </c>
      <c r="D43" s="994"/>
      <c r="E43" s="994"/>
      <c r="F43" s="433"/>
      <c r="G43" s="434"/>
      <c r="H43" s="435">
        <f>(1+H33+H35)*(1+H36)*(1+H37)</f>
        <v>2.5250076734693874</v>
      </c>
    </row>
    <row r="44" spans="1:8">
      <c r="A44" s="431" t="s">
        <v>241</v>
      </c>
      <c r="B44" s="432" t="e">
        <f>#REF!</f>
        <v>#REF!</v>
      </c>
      <c r="C44" s="994" t="s">
        <v>242</v>
      </c>
      <c r="D44" s="994"/>
      <c r="E44" s="994"/>
      <c r="F44" s="433"/>
      <c r="G44" s="436"/>
      <c r="H44" s="437">
        <f>(1+H34+H35)*(1+H36)*(1+H37)</f>
        <v>1.7413015043731779</v>
      </c>
    </row>
    <row r="45" spans="1:8">
      <c r="A45" s="431" t="s">
        <v>243</v>
      </c>
      <c r="B45" s="432" t="str">
        <f>B16</f>
        <v>SERVIÇO DE APOIO TÉCNICO</v>
      </c>
      <c r="C45" s="994" t="s">
        <v>244</v>
      </c>
      <c r="D45" s="994"/>
      <c r="E45" s="994"/>
      <c r="F45" s="433"/>
      <c r="G45" s="436"/>
      <c r="H45" s="437">
        <f>(1+H35)*(1+H36)*(1+H37)</f>
        <v>1.487633865889213</v>
      </c>
    </row>
    <row r="46" spans="1:8">
      <c r="A46" s="431" t="s">
        <v>245</v>
      </c>
      <c r="B46" s="432" t="str">
        <f>B22</f>
        <v>DESPESAS DIRETAS</v>
      </c>
      <c r="C46" s="994" t="s">
        <v>246</v>
      </c>
      <c r="D46" s="994"/>
      <c r="E46" s="994"/>
      <c r="F46" s="433"/>
      <c r="G46" s="436"/>
      <c r="H46" s="437">
        <f>(1+H36)*(1+H37)</f>
        <v>1.2683381924198249</v>
      </c>
    </row>
    <row r="47" spans="1:8" ht="15" customHeight="1">
      <c r="A47" s="346" t="s">
        <v>247</v>
      </c>
    </row>
    <row r="48" spans="1:8" ht="30" customHeight="1">
      <c r="A48" s="349" t="s">
        <v>248</v>
      </c>
      <c r="B48" s="992" t="s">
        <v>249</v>
      </c>
      <c r="C48" s="992"/>
      <c r="D48" s="992"/>
      <c r="E48" s="992"/>
      <c r="F48" s="992"/>
      <c r="G48" s="992"/>
      <c r="H48" s="350"/>
    </row>
    <row r="49" spans="1:11" ht="30" customHeight="1">
      <c r="A49" s="349" t="s">
        <v>250</v>
      </c>
      <c r="B49" s="992" t="s">
        <v>251</v>
      </c>
      <c r="C49" s="992"/>
      <c r="D49" s="992"/>
      <c r="E49" s="992"/>
      <c r="F49" s="992"/>
      <c r="G49" s="992"/>
      <c r="H49" s="350"/>
    </row>
    <row r="50" spans="1:11" ht="14.25" customHeight="1">
      <c r="A50" s="349" t="s">
        <v>252</v>
      </c>
      <c r="B50" s="992" t="s">
        <v>253</v>
      </c>
      <c r="C50" s="992"/>
      <c r="D50" s="992"/>
      <c r="E50" s="992"/>
      <c r="F50" s="992"/>
      <c r="G50" s="992"/>
      <c r="H50" s="350"/>
    </row>
    <row r="51" spans="1:11" ht="9.9499999999999993" customHeight="1">
      <c r="A51" s="351"/>
      <c r="B51" s="351"/>
      <c r="C51" s="351"/>
      <c r="D51" s="351"/>
      <c r="E51" s="351"/>
      <c r="F51" s="351"/>
      <c r="G51" s="351"/>
      <c r="H51" s="351"/>
      <c r="J51" s="438"/>
      <c r="K51" s="438"/>
    </row>
    <row r="54" spans="1:11">
      <c r="D54" s="439"/>
    </row>
    <row r="55" spans="1:11">
      <c r="A55" s="439"/>
      <c r="B55" s="439"/>
      <c r="D55" s="439"/>
    </row>
    <row r="56" spans="1:11">
      <c r="D56" s="352"/>
    </row>
    <row r="57" spans="1:11">
      <c r="D57" s="439"/>
    </row>
    <row r="58" spans="1:11">
      <c r="A58" s="440"/>
      <c r="B58" s="351"/>
      <c r="C58" s="357"/>
      <c r="D58" s="439"/>
      <c r="E58" s="357"/>
      <c r="F58" s="357"/>
      <c r="G58" s="357"/>
      <c r="H58" s="357"/>
      <c r="I58" s="354"/>
    </row>
  </sheetData>
  <mergeCells count="26">
    <mergeCell ref="A1:H1"/>
    <mergeCell ref="B2:F2"/>
    <mergeCell ref="A5:A6"/>
    <mergeCell ref="B5:B6"/>
    <mergeCell ref="C5:D5"/>
    <mergeCell ref="F5:F6"/>
    <mergeCell ref="G5:G6"/>
    <mergeCell ref="H5:H6"/>
    <mergeCell ref="A20:A21"/>
    <mergeCell ref="B20:B21"/>
    <mergeCell ref="C20:C21"/>
    <mergeCell ref="G20:G21"/>
    <mergeCell ref="H20:H21"/>
    <mergeCell ref="A14:A15"/>
    <mergeCell ref="B14:B15"/>
    <mergeCell ref="C14:C15"/>
    <mergeCell ref="G14:G15"/>
    <mergeCell ref="H14:H15"/>
    <mergeCell ref="B49:G49"/>
    <mergeCell ref="B50:G50"/>
    <mergeCell ref="A31:B31"/>
    <mergeCell ref="C43:E43"/>
    <mergeCell ref="C44:E44"/>
    <mergeCell ref="C45:E45"/>
    <mergeCell ref="C46:E46"/>
    <mergeCell ref="B48:G48"/>
  </mergeCells>
  <printOptions horizontalCentered="1"/>
  <pageMargins left="0.51181102362204722" right="0.51181102362204722" top="0.78740157480314965" bottom="0.78740157480314965" header="0.31496062992125984" footer="0.31496062992125984"/>
  <pageSetup paperSize="9" scale="66" fitToHeight="0" orientation="portrait" r:id="rId1"/>
  <headerFooter>
    <oddFooter>&amp;L&amp;F&amp;C&amp;A&amp;R&amp;P/&amp;N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34"/>
  <sheetViews>
    <sheetView view="pageBreakPreview" zoomScale="60" zoomScaleNormal="100" workbookViewId="0">
      <selection activeCell="C65" sqref="C65:D65"/>
    </sheetView>
  </sheetViews>
  <sheetFormatPr defaultColWidth="8" defaultRowHeight="15.75"/>
  <cols>
    <col min="1" max="1" width="5" style="756" customWidth="1"/>
    <col min="2" max="4" width="4.375" style="756" customWidth="1"/>
    <col min="5" max="7" width="13.75" style="757" customWidth="1"/>
    <col min="8" max="8" width="17.75" style="757" customWidth="1"/>
    <col min="9" max="9" width="5" style="755" customWidth="1"/>
    <col min="10" max="16384" width="8" style="755"/>
  </cols>
  <sheetData>
    <row r="1" spans="1:10" s="129" customFormat="1" ht="39.950000000000003" customHeight="1">
      <c r="A1" s="858" t="s">
        <v>923</v>
      </c>
      <c r="B1" s="858"/>
      <c r="C1" s="858"/>
      <c r="D1" s="858"/>
      <c r="E1" s="858"/>
      <c r="F1" s="858"/>
      <c r="G1" s="858"/>
      <c r="H1" s="858"/>
      <c r="I1" s="858"/>
      <c r="J1" s="759"/>
    </row>
    <row r="2" spans="1:10">
      <c r="A2" s="760"/>
      <c r="B2" s="761"/>
      <c r="C2" s="761"/>
      <c r="D2" s="761"/>
      <c r="E2" s="761"/>
      <c r="F2" s="761"/>
      <c r="G2" s="761"/>
      <c r="H2" s="761"/>
      <c r="I2" s="762"/>
      <c r="J2" s="762"/>
    </row>
    <row r="3" spans="1:10" ht="34.5" customHeight="1">
      <c r="A3" s="760"/>
      <c r="B3" s="856" t="s">
        <v>898</v>
      </c>
      <c r="C3" s="856"/>
      <c r="D3" s="856"/>
      <c r="E3" s="856"/>
      <c r="F3" s="856"/>
      <c r="G3" s="856"/>
      <c r="H3" s="856"/>
      <c r="I3" s="762"/>
      <c r="J3" s="762"/>
    </row>
    <row r="4" spans="1:10">
      <c r="A4" s="760"/>
      <c r="B4" s="751"/>
      <c r="C4" s="751"/>
      <c r="D4" s="751"/>
      <c r="E4" s="751"/>
      <c r="F4" s="751"/>
      <c r="G4" s="751"/>
      <c r="H4" s="751"/>
      <c r="I4" s="762"/>
      <c r="J4" s="762"/>
    </row>
    <row r="5" spans="1:10">
      <c r="A5" s="760"/>
      <c r="B5" s="763" t="s">
        <v>899</v>
      </c>
      <c r="C5" s="857" t="s">
        <v>900</v>
      </c>
      <c r="D5" s="857"/>
      <c r="E5" s="857"/>
      <c r="F5" s="857"/>
      <c r="G5" s="857"/>
      <c r="H5" s="857"/>
      <c r="I5" s="762"/>
      <c r="J5" s="762"/>
    </row>
    <row r="6" spans="1:10">
      <c r="A6" s="760"/>
      <c r="B6" s="764"/>
      <c r="C6" s="765"/>
      <c r="D6" s="855" t="s">
        <v>901</v>
      </c>
      <c r="E6" s="855"/>
      <c r="F6" s="855"/>
      <c r="G6" s="855"/>
      <c r="H6" s="855"/>
      <c r="I6" s="762"/>
      <c r="J6" s="762"/>
    </row>
    <row r="7" spans="1:10">
      <c r="A7" s="760"/>
      <c r="B7" s="764"/>
      <c r="C7" s="765"/>
      <c r="D7" s="855" t="s">
        <v>902</v>
      </c>
      <c r="E7" s="855"/>
      <c r="F7" s="855"/>
      <c r="G7" s="855"/>
      <c r="H7" s="855"/>
      <c r="I7" s="762"/>
      <c r="J7" s="762"/>
    </row>
    <row r="8" spans="1:10">
      <c r="A8" s="760"/>
      <c r="B8" s="764"/>
      <c r="C8" s="765"/>
      <c r="D8" s="765"/>
      <c r="E8" s="765"/>
      <c r="F8" s="765"/>
      <c r="G8" s="765"/>
      <c r="H8" s="765"/>
      <c r="I8" s="762"/>
      <c r="J8" s="762"/>
    </row>
    <row r="9" spans="1:10">
      <c r="A9" s="760"/>
      <c r="B9" s="763" t="s">
        <v>903</v>
      </c>
      <c r="C9" s="857" t="s">
        <v>904</v>
      </c>
      <c r="D9" s="857"/>
      <c r="E9" s="857"/>
      <c r="F9" s="857"/>
      <c r="G9" s="857"/>
      <c r="H9" s="857"/>
      <c r="I9" s="762"/>
      <c r="J9" s="762"/>
    </row>
    <row r="10" spans="1:10" ht="32.1" customHeight="1">
      <c r="A10" s="760"/>
      <c r="B10" s="764"/>
      <c r="C10" s="765"/>
      <c r="D10" s="855" t="s">
        <v>905</v>
      </c>
      <c r="E10" s="855"/>
      <c r="F10" s="855"/>
      <c r="G10" s="855"/>
      <c r="H10" s="855"/>
      <c r="I10" s="762"/>
      <c r="J10" s="762"/>
    </row>
    <row r="11" spans="1:10" ht="32.1" customHeight="1">
      <c r="A11" s="760"/>
      <c r="B11" s="764"/>
      <c r="C11" s="765"/>
      <c r="D11" s="855" t="s">
        <v>906</v>
      </c>
      <c r="E11" s="855"/>
      <c r="F11" s="855"/>
      <c r="G11" s="855"/>
      <c r="H11" s="855"/>
      <c r="I11" s="762"/>
      <c r="J11" s="762"/>
    </row>
    <row r="12" spans="1:10">
      <c r="A12" s="760"/>
      <c r="B12" s="764"/>
      <c r="C12" s="765"/>
      <c r="D12" s="765"/>
      <c r="E12" s="765"/>
      <c r="F12" s="765"/>
      <c r="G12" s="765"/>
      <c r="H12" s="765"/>
      <c r="I12" s="762"/>
      <c r="J12" s="762"/>
    </row>
    <row r="13" spans="1:10">
      <c r="A13" s="760"/>
      <c r="B13" s="763" t="s">
        <v>907</v>
      </c>
      <c r="C13" s="857" t="s">
        <v>908</v>
      </c>
      <c r="D13" s="857"/>
      <c r="E13" s="857"/>
      <c r="F13" s="857"/>
      <c r="G13" s="857"/>
      <c r="H13" s="857"/>
      <c r="I13" s="762"/>
      <c r="J13" s="762"/>
    </row>
    <row r="14" spans="1:10">
      <c r="A14" s="760"/>
      <c r="B14" s="764"/>
      <c r="C14" s="765"/>
      <c r="D14" s="855" t="s">
        <v>909</v>
      </c>
      <c r="E14" s="855"/>
      <c r="F14" s="855"/>
      <c r="G14" s="855"/>
      <c r="H14" s="855"/>
      <c r="I14" s="762"/>
      <c r="J14" s="762"/>
    </row>
    <row r="15" spans="1:10">
      <c r="A15" s="760"/>
      <c r="B15" s="764"/>
      <c r="C15" s="765"/>
      <c r="D15" s="765"/>
      <c r="E15" s="765"/>
      <c r="F15" s="765"/>
      <c r="G15" s="765"/>
      <c r="H15" s="765"/>
      <c r="I15" s="762"/>
      <c r="J15" s="762"/>
    </row>
    <row r="16" spans="1:10">
      <c r="A16" s="760"/>
      <c r="B16" s="763" t="s">
        <v>910</v>
      </c>
      <c r="C16" s="857" t="s">
        <v>911</v>
      </c>
      <c r="D16" s="857"/>
      <c r="E16" s="857"/>
      <c r="F16" s="857"/>
      <c r="G16" s="857"/>
      <c r="H16" s="857"/>
      <c r="I16" s="762"/>
      <c r="J16" s="762"/>
    </row>
    <row r="17" spans="1:10" ht="32.1" customHeight="1">
      <c r="A17" s="760"/>
      <c r="B17" s="764"/>
      <c r="C17" s="765"/>
      <c r="D17" s="855" t="s">
        <v>912</v>
      </c>
      <c r="E17" s="855"/>
      <c r="F17" s="855"/>
      <c r="G17" s="855"/>
      <c r="H17" s="855"/>
      <c r="I17" s="762"/>
      <c r="J17" s="762"/>
    </row>
    <row r="18" spans="1:10">
      <c r="A18" s="760"/>
      <c r="B18" s="628"/>
      <c r="C18" s="765"/>
      <c r="D18" s="765"/>
      <c r="E18" s="765"/>
      <c r="F18" s="765"/>
      <c r="G18" s="765"/>
      <c r="H18" s="765"/>
      <c r="I18" s="762"/>
      <c r="J18" s="762"/>
    </row>
    <row r="19" spans="1:10">
      <c r="A19" s="760"/>
      <c r="B19" s="763" t="s">
        <v>913</v>
      </c>
      <c r="C19" s="857" t="s">
        <v>914</v>
      </c>
      <c r="D19" s="857"/>
      <c r="E19" s="857"/>
      <c r="F19" s="857"/>
      <c r="G19" s="857"/>
      <c r="H19" s="857"/>
      <c r="I19" s="762"/>
      <c r="J19" s="762"/>
    </row>
    <row r="20" spans="1:10" ht="48" customHeight="1">
      <c r="A20" s="760"/>
      <c r="B20" s="764"/>
      <c r="C20" s="765"/>
      <c r="D20" s="855" t="s">
        <v>915</v>
      </c>
      <c r="E20" s="855"/>
      <c r="F20" s="855"/>
      <c r="G20" s="855"/>
      <c r="H20" s="855"/>
      <c r="I20" s="762"/>
      <c r="J20" s="762"/>
    </row>
    <row r="21" spans="1:10">
      <c r="A21" s="760"/>
      <c r="B21" s="764"/>
      <c r="C21" s="765"/>
      <c r="D21" s="855" t="s">
        <v>916</v>
      </c>
      <c r="E21" s="855"/>
      <c r="F21" s="855"/>
      <c r="G21" s="855"/>
      <c r="H21" s="855"/>
      <c r="I21" s="762"/>
      <c r="J21" s="762"/>
    </row>
    <row r="22" spans="1:10">
      <c r="A22" s="760"/>
      <c r="B22" s="628"/>
      <c r="C22" s="765"/>
      <c r="D22" s="765"/>
      <c r="E22" s="765"/>
      <c r="F22" s="765"/>
      <c r="G22" s="765"/>
      <c r="H22" s="765"/>
      <c r="I22" s="762"/>
      <c r="J22" s="762"/>
    </row>
    <row r="23" spans="1:10">
      <c r="A23" s="760"/>
      <c r="B23" s="763" t="s">
        <v>917</v>
      </c>
      <c r="C23" s="857" t="s">
        <v>918</v>
      </c>
      <c r="D23" s="857"/>
      <c r="E23" s="857"/>
      <c r="F23" s="857"/>
      <c r="G23" s="857"/>
      <c r="H23" s="857"/>
      <c r="I23" s="762"/>
      <c r="J23" s="762"/>
    </row>
    <row r="24" spans="1:10" ht="48" customHeight="1">
      <c r="A24" s="760"/>
      <c r="B24" s="764"/>
      <c r="C24" s="765"/>
      <c r="D24" s="855" t="s">
        <v>919</v>
      </c>
      <c r="E24" s="855"/>
      <c r="F24" s="855"/>
      <c r="G24" s="855"/>
      <c r="H24" s="855"/>
      <c r="I24" s="762"/>
      <c r="J24" s="762"/>
    </row>
    <row r="25" spans="1:10">
      <c r="A25" s="760"/>
      <c r="B25" s="628"/>
      <c r="C25" s="765"/>
      <c r="D25" s="765"/>
      <c r="E25" s="765"/>
      <c r="F25" s="765"/>
      <c r="G25" s="765"/>
      <c r="H25" s="765"/>
      <c r="I25" s="762"/>
      <c r="J25" s="762"/>
    </row>
    <row r="26" spans="1:10">
      <c r="A26" s="760"/>
      <c r="B26" s="763" t="s">
        <v>920</v>
      </c>
      <c r="C26" s="857" t="s">
        <v>921</v>
      </c>
      <c r="D26" s="857"/>
      <c r="E26" s="857"/>
      <c r="F26" s="857"/>
      <c r="G26" s="857"/>
      <c r="H26" s="857"/>
      <c r="I26" s="762"/>
      <c r="J26" s="762"/>
    </row>
    <row r="27" spans="1:10" ht="32.1" customHeight="1">
      <c r="A27" s="760"/>
      <c r="B27" s="764"/>
      <c r="C27" s="765"/>
      <c r="D27" s="855" t="s">
        <v>922</v>
      </c>
      <c r="E27" s="855"/>
      <c r="F27" s="855"/>
      <c r="G27" s="855"/>
      <c r="H27" s="855"/>
      <c r="I27" s="762"/>
      <c r="J27" s="762"/>
    </row>
    <row r="28" spans="1:10">
      <c r="A28" s="760"/>
      <c r="B28" s="760"/>
      <c r="C28" s="760"/>
      <c r="D28" s="760"/>
      <c r="E28" s="766"/>
      <c r="F28" s="766"/>
      <c r="G28" s="766"/>
      <c r="H28" s="766"/>
      <c r="I28" s="762"/>
      <c r="J28" s="762"/>
    </row>
    <row r="29" spans="1:10">
      <c r="A29" s="760"/>
      <c r="B29" s="760"/>
      <c r="C29" s="760"/>
      <c r="D29" s="760"/>
      <c r="E29" s="766"/>
      <c r="F29" s="766"/>
      <c r="G29" s="766"/>
      <c r="H29" s="766"/>
      <c r="I29" s="762"/>
      <c r="J29" s="762"/>
    </row>
    <row r="30" spans="1:10">
      <c r="A30" s="760"/>
      <c r="B30" s="760"/>
      <c r="C30" s="760"/>
      <c r="D30" s="760"/>
      <c r="E30" s="766"/>
      <c r="F30" s="766"/>
      <c r="G30" s="766"/>
      <c r="H30" s="766"/>
      <c r="I30" s="762"/>
      <c r="J30" s="762"/>
    </row>
    <row r="31" spans="1:10">
      <c r="A31" s="760"/>
      <c r="B31" s="760"/>
      <c r="C31" s="760"/>
      <c r="D31" s="760"/>
      <c r="E31" s="766"/>
      <c r="F31" s="766"/>
      <c r="G31" s="766"/>
      <c r="H31" s="766"/>
      <c r="I31" s="762"/>
      <c r="J31" s="762"/>
    </row>
    <row r="32" spans="1:10">
      <c r="A32" s="760"/>
      <c r="B32" s="760"/>
      <c r="C32" s="760"/>
      <c r="D32" s="760"/>
      <c r="E32" s="766"/>
      <c r="F32" s="766"/>
      <c r="G32" s="766"/>
      <c r="H32" s="766"/>
      <c r="I32" s="762"/>
      <c r="J32" s="762"/>
    </row>
    <row r="33" spans="1:10">
      <c r="A33" s="760"/>
      <c r="B33" s="760"/>
      <c r="C33" s="760"/>
      <c r="D33" s="760"/>
      <c r="E33" s="766"/>
      <c r="F33" s="766"/>
      <c r="G33" s="766"/>
      <c r="H33" s="766"/>
      <c r="I33" s="762"/>
      <c r="J33" s="762"/>
    </row>
    <row r="34" spans="1:10">
      <c r="A34" s="760"/>
      <c r="B34" s="760"/>
      <c r="C34" s="760"/>
      <c r="D34" s="760"/>
      <c r="E34" s="766"/>
      <c r="F34" s="766"/>
      <c r="G34" s="766"/>
      <c r="H34" s="766"/>
      <c r="I34" s="762"/>
      <c r="J34" s="762"/>
    </row>
  </sheetData>
  <mergeCells count="19">
    <mergeCell ref="D27:H27"/>
    <mergeCell ref="A1:I1"/>
    <mergeCell ref="C19:H19"/>
    <mergeCell ref="D20:H20"/>
    <mergeCell ref="D21:H21"/>
    <mergeCell ref="C23:H23"/>
    <mergeCell ref="D24:H24"/>
    <mergeCell ref="C26:H26"/>
    <mergeCell ref="D10:H10"/>
    <mergeCell ref="D11:H11"/>
    <mergeCell ref="C13:H13"/>
    <mergeCell ref="D14:H14"/>
    <mergeCell ref="C16:H16"/>
    <mergeCell ref="D17:H17"/>
    <mergeCell ref="B3:H3"/>
    <mergeCell ref="C5:H5"/>
    <mergeCell ref="D6:H6"/>
    <mergeCell ref="D7:H7"/>
    <mergeCell ref="C9:H9"/>
  </mergeCells>
  <printOptions horizontalCentered="1"/>
  <pageMargins left="0.51181102362204722" right="0.51181102362204722" top="0.78740157480314965" bottom="0.78740157480314965" header="0.31496062992125984" footer="0.31496062992125984"/>
  <pageSetup paperSize="9" orientation="portrait" r:id="rId1"/>
  <headerFooter>
    <oddFooter>&amp;L&amp;F&amp;C&amp;A&amp;R&amp;P/&amp;N</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K52"/>
  <sheetViews>
    <sheetView workbookViewId="0">
      <selection activeCell="E40" sqref="E40"/>
    </sheetView>
  </sheetViews>
  <sheetFormatPr defaultRowHeight="12.75"/>
  <cols>
    <col min="1" max="1" width="9" style="353"/>
    <col min="2" max="2" width="49.875" style="353" bestFit="1" customWidth="1"/>
    <col min="3" max="3" width="10.5" style="353" bestFit="1" customWidth="1"/>
    <col min="4" max="4" width="10.625" style="353" customWidth="1"/>
    <col min="5" max="5" width="12.625" style="353" customWidth="1"/>
    <col min="6" max="6" width="11.125" style="353" customWidth="1"/>
    <col min="7" max="7" width="12.25" style="353" bestFit="1" customWidth="1"/>
    <col min="8" max="8" width="9.875" style="353" bestFit="1" customWidth="1"/>
    <col min="9" max="12" width="11.125" style="353" customWidth="1"/>
    <col min="13" max="16384" width="9" style="353"/>
  </cols>
  <sheetData>
    <row r="1" spans="1:10" s="343" customFormat="1" ht="39.950000000000003" customHeight="1">
      <c r="A1" s="988" t="s">
        <v>409</v>
      </c>
      <c r="B1" s="988"/>
      <c r="C1" s="988"/>
      <c r="D1" s="988"/>
      <c r="E1" s="988"/>
      <c r="F1" s="988"/>
      <c r="G1" s="988"/>
      <c r="H1" s="988"/>
    </row>
    <row r="2" spans="1:10" ht="20.100000000000001" customHeight="1">
      <c r="A2" s="352"/>
      <c r="B2" s="989"/>
      <c r="C2" s="989"/>
      <c r="D2" s="989"/>
      <c r="E2" s="989"/>
      <c r="F2" s="989"/>
      <c r="G2" s="344"/>
      <c r="H2" s="345"/>
    </row>
    <row r="3" spans="1:10" ht="15.6" customHeight="1">
      <c r="A3" s="346"/>
      <c r="B3" s="442" t="s">
        <v>411</v>
      </c>
      <c r="C3" s="441">
        <v>12</v>
      </c>
      <c r="D3" s="441" t="s">
        <v>27</v>
      </c>
      <c r="E3" s="441">
        <v>160</v>
      </c>
      <c r="F3" s="440" t="s">
        <v>160</v>
      </c>
      <c r="G3" s="344" t="s">
        <v>210</v>
      </c>
      <c r="H3" s="625">
        <v>44146</v>
      </c>
    </row>
    <row r="4" spans="1:10" ht="9.9499999999999993" customHeight="1">
      <c r="F4" s="356"/>
      <c r="G4" s="357"/>
    </row>
    <row r="5" spans="1:10" ht="15" customHeight="1">
      <c r="A5" s="990" t="s">
        <v>285</v>
      </c>
      <c r="B5" s="991" t="s">
        <v>211</v>
      </c>
      <c r="C5" s="1001" t="s">
        <v>212</v>
      </c>
      <c r="D5" s="1002"/>
      <c r="E5" s="358" t="s">
        <v>213</v>
      </c>
      <c r="F5" s="1003" t="s">
        <v>214</v>
      </c>
      <c r="G5" s="1003" t="s">
        <v>215</v>
      </c>
      <c r="H5" s="1005" t="s">
        <v>216</v>
      </c>
    </row>
    <row r="6" spans="1:10" ht="15" customHeight="1">
      <c r="A6" s="990"/>
      <c r="B6" s="991"/>
      <c r="C6" s="359" t="s">
        <v>217</v>
      </c>
      <c r="D6" s="360" t="s">
        <v>218</v>
      </c>
      <c r="E6" s="361" t="s">
        <v>219</v>
      </c>
      <c r="F6" s="1003"/>
      <c r="G6" s="1004"/>
      <c r="H6" s="1005"/>
    </row>
    <row r="7" spans="1:10" ht="20.100000000000001" customHeight="1">
      <c r="A7" s="362">
        <v>1</v>
      </c>
      <c r="B7" s="363" t="s">
        <v>220</v>
      </c>
      <c r="C7" s="364"/>
      <c r="D7" s="365"/>
      <c r="E7" s="365"/>
      <c r="F7" s="364"/>
      <c r="G7" s="366">
        <f>SUM(G8:G12)</f>
        <v>415924.83696336974</v>
      </c>
      <c r="H7" s="367">
        <f>SUM(H8:H12)</f>
        <v>0.84954773931457528</v>
      </c>
    </row>
    <row r="8" spans="1:10" ht="20.100000000000001" customHeight="1">
      <c r="A8" s="368" t="s">
        <v>221</v>
      </c>
      <c r="B8" s="369" t="s">
        <v>396</v>
      </c>
      <c r="C8" s="370">
        <v>5000</v>
      </c>
      <c r="D8" s="371">
        <f>C8/$E$3</f>
        <v>31.25</v>
      </c>
      <c r="E8" s="382">
        <f>C3*E3</f>
        <v>1920</v>
      </c>
      <c r="F8" s="371">
        <f>D8*E8</f>
        <v>60000</v>
      </c>
      <c r="G8" s="371">
        <f>F8*$H$37</f>
        <v>151500.46040816323</v>
      </c>
      <c r="H8" s="373">
        <f>G8/$G$23</f>
        <v>0.30944743426372379</v>
      </c>
    </row>
    <row r="9" spans="1:10" ht="20.100000000000001" customHeight="1">
      <c r="A9" s="368" t="s">
        <v>221</v>
      </c>
      <c r="B9" s="369" t="s">
        <v>397</v>
      </c>
      <c r="C9" s="370">
        <v>3793.13</v>
      </c>
      <c r="D9" s="371">
        <f t="shared" ref="D9:D10" si="0">C9/$E$3</f>
        <v>23.707062499999999</v>
      </c>
      <c r="E9" s="382">
        <f>C3*E3</f>
        <v>1920</v>
      </c>
      <c r="F9" s="371">
        <f>D9*E9</f>
        <v>45517.56</v>
      </c>
      <c r="G9" s="371">
        <f>F9*$H$37</f>
        <v>114932.18827760324</v>
      </c>
      <c r="H9" s="373">
        <f>G9/$G$23</f>
        <v>0.23475486926575173</v>
      </c>
      <c r="J9" s="374"/>
    </row>
    <row r="10" spans="1:10" ht="20.100000000000001" customHeight="1">
      <c r="A10" s="368" t="s">
        <v>221</v>
      </c>
      <c r="B10" s="369" t="s">
        <v>634</v>
      </c>
      <c r="C10" s="370">
        <v>3793.13</v>
      </c>
      <c r="D10" s="371">
        <f t="shared" si="0"/>
        <v>23.707062499999999</v>
      </c>
      <c r="E10" s="382">
        <f>C3*E3</f>
        <v>1920</v>
      </c>
      <c r="F10" s="371">
        <f>D10*E10</f>
        <v>45517.56</v>
      </c>
      <c r="G10" s="371">
        <f>F10*$H$37</f>
        <v>114932.18827760324</v>
      </c>
      <c r="H10" s="373">
        <f>G10/$G$23</f>
        <v>0.23475486926575173</v>
      </c>
    </row>
    <row r="11" spans="1:10" ht="20.100000000000001" customHeight="1">
      <c r="A11" s="368" t="s">
        <v>221</v>
      </c>
      <c r="B11" s="369" t="s">
        <v>333</v>
      </c>
      <c r="C11" s="370">
        <v>1440</v>
      </c>
      <c r="D11" s="371">
        <f>C11/120</f>
        <v>12</v>
      </c>
      <c r="E11" s="382">
        <f>12*120</f>
        <v>1440</v>
      </c>
      <c r="F11" s="371">
        <f t="shared" ref="F11:F12" si="1">D11*E11</f>
        <v>17280</v>
      </c>
      <c r="G11" s="371">
        <f>F11</f>
        <v>17280</v>
      </c>
      <c r="H11" s="373">
        <f>G11/$G$23</f>
        <v>3.5295283259674001E-2</v>
      </c>
    </row>
    <row r="12" spans="1:10" ht="20.100000000000001" customHeight="1">
      <c r="A12" s="368" t="s">
        <v>221</v>
      </c>
      <c r="B12" s="369" t="s">
        <v>333</v>
      </c>
      <c r="C12" s="370">
        <v>1440</v>
      </c>
      <c r="D12" s="371">
        <f>C12/120</f>
        <v>12</v>
      </c>
      <c r="E12" s="382">
        <f>12*120</f>
        <v>1440</v>
      </c>
      <c r="F12" s="371">
        <f t="shared" si="1"/>
        <v>17280</v>
      </c>
      <c r="G12" s="371">
        <f>F12</f>
        <v>17280</v>
      </c>
      <c r="H12" s="373">
        <f>G12/$G$23</f>
        <v>3.5295283259674001E-2</v>
      </c>
    </row>
    <row r="13" spans="1:10" ht="6" customHeight="1">
      <c r="A13" s="368"/>
      <c r="B13" s="375"/>
      <c r="C13" s="370"/>
      <c r="D13" s="368"/>
      <c r="E13" s="370"/>
      <c r="F13" s="371"/>
      <c r="G13" s="376"/>
      <c r="H13" s="377"/>
      <c r="I13" s="378"/>
    </row>
    <row r="14" spans="1:10" ht="15" customHeight="1">
      <c r="A14" s="990" t="s">
        <v>285</v>
      </c>
      <c r="B14" s="995" t="s">
        <v>211</v>
      </c>
      <c r="C14" s="996" t="s">
        <v>224</v>
      </c>
      <c r="D14" s="384" t="s">
        <v>170</v>
      </c>
      <c r="E14" s="385" t="s">
        <v>169</v>
      </c>
      <c r="F14" s="384" t="s">
        <v>225</v>
      </c>
      <c r="G14" s="997" t="s">
        <v>226</v>
      </c>
      <c r="H14" s="998" t="s">
        <v>216</v>
      </c>
    </row>
    <row r="15" spans="1:10" ht="15" customHeight="1">
      <c r="A15" s="990"/>
      <c r="B15" s="995"/>
      <c r="C15" s="996"/>
      <c r="D15" s="386" t="s">
        <v>63</v>
      </c>
      <c r="E15" s="386" t="s">
        <v>173</v>
      </c>
      <c r="F15" s="387" t="s">
        <v>173</v>
      </c>
      <c r="G15" s="996"/>
      <c r="H15" s="998"/>
    </row>
    <row r="16" spans="1:10" ht="20.100000000000001" customHeight="1">
      <c r="A16" s="362">
        <v>4</v>
      </c>
      <c r="B16" s="363" t="s">
        <v>227</v>
      </c>
      <c r="C16" s="364"/>
      <c r="D16" s="365"/>
      <c r="E16" s="365"/>
      <c r="F16" s="364"/>
      <c r="G16" s="366">
        <f>SUM(G17:G22)</f>
        <v>73658.994192419821</v>
      </c>
      <c r="H16" s="367">
        <f>SUM(H17:H22)</f>
        <v>0.15045226068542472</v>
      </c>
    </row>
    <row r="17" spans="1:8" ht="20.100000000000001" customHeight="1">
      <c r="A17" s="368"/>
      <c r="B17" s="402" t="s">
        <v>387</v>
      </c>
      <c r="C17" s="403" t="s">
        <v>406</v>
      </c>
      <c r="D17" s="396">
        <v>12</v>
      </c>
      <c r="E17" s="395">
        <v>2364</v>
      </c>
      <c r="F17" s="371">
        <f t="shared" ref="F17:F22" si="2">D17*E17</f>
        <v>28368</v>
      </c>
      <c r="G17" s="371">
        <f t="shared" ref="G17:G22" si="3">F17*$H$40</f>
        <v>35980.217842565595</v>
      </c>
      <c r="H17" s="373">
        <f t="shared" ref="H17:H22" si="4">G17/$G$23</f>
        <v>7.3491434056604701E-2</v>
      </c>
    </row>
    <row r="18" spans="1:8" ht="20.100000000000001" customHeight="1">
      <c r="A18" s="368"/>
      <c r="B18" s="404" t="s">
        <v>405</v>
      </c>
      <c r="C18" s="395" t="s">
        <v>63</v>
      </c>
      <c r="D18" s="396">
        <f>12*4*50</f>
        <v>2400</v>
      </c>
      <c r="E18" s="395">
        <v>2</v>
      </c>
      <c r="F18" s="371">
        <f t="shared" si="2"/>
        <v>4800</v>
      </c>
      <c r="G18" s="371">
        <f t="shared" si="3"/>
        <v>6088.0233236151598</v>
      </c>
      <c r="H18" s="373">
        <f t="shared" si="4"/>
        <v>1.2435098825144618E-2</v>
      </c>
    </row>
    <row r="19" spans="1:8" ht="20.100000000000001" customHeight="1">
      <c r="A19" s="368"/>
      <c r="B19" s="404" t="s">
        <v>389</v>
      </c>
      <c r="C19" s="395" t="s">
        <v>63</v>
      </c>
      <c r="D19" s="396">
        <f>12*4*100</f>
        <v>4800</v>
      </c>
      <c r="E19" s="395">
        <v>0.3</v>
      </c>
      <c r="F19" s="371">
        <f t="shared" si="2"/>
        <v>1440</v>
      </c>
      <c r="G19" s="371">
        <f t="shared" si="3"/>
        <v>1826.4069970845478</v>
      </c>
      <c r="H19" s="373">
        <f t="shared" si="4"/>
        <v>3.730529647543385E-3</v>
      </c>
    </row>
    <row r="20" spans="1:8" ht="20.100000000000001" customHeight="1">
      <c r="A20" s="368"/>
      <c r="B20" s="404" t="s">
        <v>390</v>
      </c>
      <c r="C20" s="395" t="s">
        <v>63</v>
      </c>
      <c r="D20" s="396">
        <v>48</v>
      </c>
      <c r="E20" s="395">
        <v>18.899999999999999</v>
      </c>
      <c r="F20" s="371">
        <f t="shared" si="2"/>
        <v>907.19999999999993</v>
      </c>
      <c r="G20" s="371">
        <f t="shared" si="3"/>
        <v>1150.6364081632651</v>
      </c>
      <c r="H20" s="373">
        <f t="shared" si="4"/>
        <v>2.3502336779523325E-3</v>
      </c>
    </row>
    <row r="21" spans="1:8" ht="20.100000000000001" customHeight="1">
      <c r="A21" s="368"/>
      <c r="B21" s="404" t="s">
        <v>408</v>
      </c>
      <c r="C21" s="395" t="s">
        <v>63</v>
      </c>
      <c r="D21" s="396">
        <f>12*4*2</f>
        <v>96</v>
      </c>
      <c r="E21" s="395">
        <v>30</v>
      </c>
      <c r="F21" s="371">
        <f t="shared" si="2"/>
        <v>2880</v>
      </c>
      <c r="G21" s="371">
        <f t="shared" si="3"/>
        <v>3652.8139941690956</v>
      </c>
      <c r="H21" s="373">
        <f t="shared" si="4"/>
        <v>7.46105929508677E-3</v>
      </c>
    </row>
    <row r="22" spans="1:8" ht="20.100000000000001" customHeight="1">
      <c r="A22" s="368"/>
      <c r="B22" s="404" t="s">
        <v>283</v>
      </c>
      <c r="C22" s="395" t="s">
        <v>392</v>
      </c>
      <c r="D22" s="396">
        <f>12*4*2</f>
        <v>96</v>
      </c>
      <c r="E22" s="395">
        <v>205</v>
      </c>
      <c r="F22" s="371">
        <f t="shared" si="2"/>
        <v>19680</v>
      </c>
      <c r="G22" s="371">
        <f t="shared" si="3"/>
        <v>24960.895626822155</v>
      </c>
      <c r="H22" s="373">
        <f t="shared" si="4"/>
        <v>5.0983905183092933E-2</v>
      </c>
    </row>
    <row r="23" spans="1:8" ht="20.100000000000001" customHeight="1">
      <c r="A23" s="405"/>
      <c r="B23" s="405" t="s">
        <v>228</v>
      </c>
      <c r="C23" s="405"/>
      <c r="D23" s="405"/>
      <c r="E23" s="406"/>
      <c r="F23" s="407"/>
      <c r="G23" s="408">
        <f>G7+G16</f>
        <v>489583.83115578955</v>
      </c>
      <c r="H23" s="409">
        <f>H7+H16</f>
        <v>1</v>
      </c>
    </row>
    <row r="24" spans="1:8" ht="6" customHeight="1">
      <c r="A24" s="410"/>
      <c r="B24" s="410"/>
      <c r="C24" s="410"/>
      <c r="D24" s="410"/>
      <c r="E24" s="410"/>
      <c r="F24" s="410"/>
      <c r="G24" s="410"/>
      <c r="H24" s="410"/>
    </row>
    <row r="25" spans="1:8" ht="20.100000000000001" customHeight="1">
      <c r="A25" s="993" t="s">
        <v>229</v>
      </c>
      <c r="B25" s="993"/>
      <c r="C25" s="411"/>
      <c r="D25" s="411"/>
      <c r="E25" s="411"/>
      <c r="F25" s="411"/>
      <c r="G25" s="411"/>
      <c r="H25" s="411"/>
    </row>
    <row r="26" spans="1:8" ht="3" customHeight="1">
      <c r="A26" s="412"/>
      <c r="B26" s="413"/>
      <c r="C26" s="412"/>
      <c r="D26" s="414"/>
      <c r="E26" s="415"/>
      <c r="F26" s="416"/>
      <c r="G26" s="370"/>
      <c r="H26" s="370"/>
    </row>
    <row r="27" spans="1:8">
      <c r="A27" s="417"/>
      <c r="B27" s="417" t="s">
        <v>230</v>
      </c>
      <c r="C27" s="418"/>
      <c r="D27" s="419"/>
      <c r="E27" s="420"/>
      <c r="F27" s="421"/>
      <c r="G27" s="422"/>
      <c r="H27" s="423">
        <v>0.81789999999999996</v>
      </c>
    </row>
    <row r="28" spans="1:8">
      <c r="A28" s="417"/>
      <c r="B28" s="417" t="s">
        <v>231</v>
      </c>
      <c r="C28" s="418"/>
      <c r="D28" s="419"/>
      <c r="E28" s="420"/>
      <c r="F28" s="421"/>
      <c r="G28" s="422"/>
      <c r="H28" s="423">
        <v>0.2</v>
      </c>
    </row>
    <row r="29" spans="1:8">
      <c r="A29" s="424"/>
      <c r="B29" s="424" t="s">
        <v>232</v>
      </c>
      <c r="C29" s="424"/>
      <c r="D29" s="419"/>
      <c r="E29" s="420"/>
      <c r="F29" s="421"/>
      <c r="G29" s="422"/>
      <c r="H29" s="423">
        <v>0.1729</v>
      </c>
    </row>
    <row r="30" spans="1:8">
      <c r="A30" s="424"/>
      <c r="B30" s="424" t="s">
        <v>233</v>
      </c>
      <c r="C30" s="424"/>
      <c r="D30" s="419"/>
      <c r="E30" s="420"/>
      <c r="F30" s="421"/>
      <c r="G30" s="422"/>
      <c r="H30" s="423">
        <v>8.7599999999999997E-2</v>
      </c>
    </row>
    <row r="31" spans="1:8">
      <c r="A31" s="424"/>
      <c r="B31" s="424" t="s">
        <v>234</v>
      </c>
      <c r="C31" s="424"/>
      <c r="D31" s="419"/>
      <c r="E31" s="420"/>
      <c r="F31" s="421"/>
      <c r="G31" s="422"/>
      <c r="H31" s="423">
        <f>(1/(1-(C33+C34+C35)))-1</f>
        <v>0.16618075801749277</v>
      </c>
    </row>
    <row r="32" spans="1:8">
      <c r="A32" s="425"/>
      <c r="B32" s="425" t="s">
        <v>235</v>
      </c>
      <c r="C32" s="417"/>
      <c r="D32" s="419"/>
      <c r="E32" s="420"/>
      <c r="F32" s="421"/>
      <c r="G32" s="422"/>
      <c r="H32" s="423"/>
    </row>
    <row r="33" spans="1:11">
      <c r="A33" s="417"/>
      <c r="B33" s="417" t="s">
        <v>236</v>
      </c>
      <c r="C33" s="426">
        <v>1.6500000000000001E-2</v>
      </c>
      <c r="D33" s="419"/>
      <c r="E33" s="420"/>
      <c r="F33" s="421"/>
      <c r="G33" s="422"/>
      <c r="H33" s="427"/>
    </row>
    <row r="34" spans="1:11">
      <c r="A34" s="417"/>
      <c r="B34" s="417" t="s">
        <v>237</v>
      </c>
      <c r="C34" s="426">
        <v>7.5999999999999998E-2</v>
      </c>
      <c r="D34" s="419"/>
      <c r="E34" s="420"/>
      <c r="F34" s="421"/>
      <c r="G34" s="422"/>
      <c r="H34" s="427"/>
    </row>
    <row r="35" spans="1:11">
      <c r="A35" s="417"/>
      <c r="B35" s="417" t="s">
        <v>238</v>
      </c>
      <c r="C35" s="426">
        <v>0.05</v>
      </c>
      <c r="D35" s="419"/>
      <c r="E35" s="420"/>
      <c r="F35" s="421"/>
      <c r="G35" s="422"/>
      <c r="H35" s="427"/>
    </row>
    <row r="36" spans="1:11" ht="3" customHeight="1">
      <c r="A36" s="412"/>
      <c r="B36" s="428"/>
      <c r="C36" s="429"/>
      <c r="D36" s="430"/>
      <c r="E36" s="415"/>
      <c r="F36" s="428"/>
      <c r="G36" s="370"/>
      <c r="H36" s="414"/>
    </row>
    <row r="37" spans="1:11">
      <c r="A37" s="431" t="s">
        <v>239</v>
      </c>
      <c r="B37" s="432" t="str">
        <f>B7</f>
        <v>EQUIPE TÉCNICA PERMANENTE</v>
      </c>
      <c r="C37" s="994" t="s">
        <v>240</v>
      </c>
      <c r="D37" s="994"/>
      <c r="E37" s="994"/>
      <c r="F37" s="433"/>
      <c r="G37" s="434"/>
      <c r="H37" s="435">
        <f>(1+H27+H29)*(1+H30)*(1+H31)</f>
        <v>2.5250076734693874</v>
      </c>
    </row>
    <row r="38" spans="1:11">
      <c r="A38" s="431" t="s">
        <v>241</v>
      </c>
      <c r="B38" s="432" t="e">
        <f>#REF!</f>
        <v>#REF!</v>
      </c>
      <c r="C38" s="994" t="s">
        <v>242</v>
      </c>
      <c r="D38" s="994"/>
      <c r="E38" s="994"/>
      <c r="F38" s="433"/>
      <c r="G38" s="436"/>
      <c r="H38" s="437">
        <f>(1+H28+H29)*(1+H30)*(1+H31)</f>
        <v>1.7413015043731779</v>
      </c>
    </row>
    <row r="39" spans="1:11">
      <c r="A39" s="431" t="s">
        <v>243</v>
      </c>
      <c r="B39" s="432" t="e">
        <f>#REF!</f>
        <v>#REF!</v>
      </c>
      <c r="C39" s="994" t="s">
        <v>244</v>
      </c>
      <c r="D39" s="994"/>
      <c r="E39" s="994"/>
      <c r="F39" s="433"/>
      <c r="G39" s="436"/>
      <c r="H39" s="437">
        <f>(1+H29)*(1+H30)*(1+H31)</f>
        <v>1.487633865889213</v>
      </c>
    </row>
    <row r="40" spans="1:11">
      <c r="A40" s="431" t="s">
        <v>245</v>
      </c>
      <c r="B40" s="432" t="str">
        <f>B16</f>
        <v>DESPESAS DIRETAS</v>
      </c>
      <c r="C40" s="994" t="s">
        <v>246</v>
      </c>
      <c r="D40" s="994"/>
      <c r="E40" s="994"/>
      <c r="F40" s="433"/>
      <c r="G40" s="436"/>
      <c r="H40" s="437">
        <f>(1+H30)*(1+H31)</f>
        <v>1.2683381924198249</v>
      </c>
    </row>
    <row r="41" spans="1:11" ht="15" customHeight="1">
      <c r="A41" s="346" t="s">
        <v>247</v>
      </c>
    </row>
    <row r="42" spans="1:11" ht="30" customHeight="1">
      <c r="A42" s="349" t="s">
        <v>248</v>
      </c>
      <c r="B42" s="992" t="s">
        <v>249</v>
      </c>
      <c r="C42" s="992"/>
      <c r="D42" s="992"/>
      <c r="E42" s="992"/>
      <c r="F42" s="992"/>
      <c r="G42" s="992"/>
      <c r="H42" s="350"/>
    </row>
    <row r="43" spans="1:11" ht="30" customHeight="1">
      <c r="A43" s="349" t="s">
        <v>250</v>
      </c>
      <c r="B43" s="992" t="s">
        <v>251</v>
      </c>
      <c r="C43" s="992"/>
      <c r="D43" s="992"/>
      <c r="E43" s="992"/>
      <c r="F43" s="992"/>
      <c r="G43" s="992"/>
      <c r="H43" s="350"/>
    </row>
    <row r="44" spans="1:11" ht="14.25" customHeight="1">
      <c r="A44" s="349" t="s">
        <v>252</v>
      </c>
      <c r="B44" s="992" t="s">
        <v>253</v>
      </c>
      <c r="C44" s="992"/>
      <c r="D44" s="992"/>
      <c r="E44" s="992"/>
      <c r="F44" s="992"/>
      <c r="G44" s="992"/>
      <c r="H44" s="350"/>
    </row>
    <row r="45" spans="1:11" ht="9.9499999999999993" customHeight="1">
      <c r="A45" s="351"/>
      <c r="B45" s="351"/>
      <c r="C45" s="351"/>
      <c r="D45" s="351"/>
      <c r="E45" s="351"/>
      <c r="F45" s="351"/>
      <c r="G45" s="351"/>
      <c r="H45" s="351"/>
      <c r="J45" s="438"/>
      <c r="K45" s="438"/>
    </row>
    <row r="48" spans="1:11">
      <c r="D48" s="439"/>
    </row>
    <row r="49" spans="1:9">
      <c r="A49" s="439"/>
      <c r="B49" s="439"/>
      <c r="D49" s="439"/>
    </row>
    <row r="50" spans="1:9">
      <c r="D50" s="352"/>
    </row>
    <row r="51" spans="1:9">
      <c r="D51" s="439"/>
    </row>
    <row r="52" spans="1:9">
      <c r="A52" s="440"/>
      <c r="B52" s="351"/>
      <c r="C52" s="357"/>
      <c r="D52" s="439"/>
      <c r="E52" s="357"/>
      <c r="F52" s="357"/>
      <c r="G52" s="357"/>
      <c r="H52" s="357"/>
      <c r="I52" s="354"/>
    </row>
  </sheetData>
  <mergeCells count="21">
    <mergeCell ref="A1:H1"/>
    <mergeCell ref="B2:F2"/>
    <mergeCell ref="A5:A6"/>
    <mergeCell ref="B5:B6"/>
    <mergeCell ref="C5:D5"/>
    <mergeCell ref="F5:F6"/>
    <mergeCell ref="G5:G6"/>
    <mergeCell ref="H5:H6"/>
    <mergeCell ref="A14:A15"/>
    <mergeCell ref="B14:B15"/>
    <mergeCell ref="C14:C15"/>
    <mergeCell ref="G14:G15"/>
    <mergeCell ref="H14:H15"/>
    <mergeCell ref="B43:G43"/>
    <mergeCell ref="B44:G44"/>
    <mergeCell ref="A25:B25"/>
    <mergeCell ref="C37:E37"/>
    <mergeCell ref="C38:E38"/>
    <mergeCell ref="C39:E39"/>
    <mergeCell ref="C40:E40"/>
    <mergeCell ref="B42:G42"/>
  </mergeCells>
  <printOptions horizontalCentered="1"/>
  <pageMargins left="0.51181102362204722" right="0.51181102362204722" top="0.78740157480314965" bottom="0.78740157480314965" header="0.31496062992125984" footer="0.31496062992125984"/>
  <pageSetup paperSize="9" scale="66" fitToHeight="0" orientation="portrait" r:id="rId1"/>
  <headerFooter>
    <oddFooter>&amp;L&amp;F&amp;C&amp;A&amp;R&amp;P/&amp;N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K52"/>
  <sheetViews>
    <sheetView workbookViewId="0">
      <selection activeCell="E40" sqref="E40"/>
    </sheetView>
  </sheetViews>
  <sheetFormatPr defaultRowHeight="12.75"/>
  <cols>
    <col min="1" max="1" width="9" style="353"/>
    <col min="2" max="2" width="49.875" style="353" bestFit="1" customWidth="1"/>
    <col min="3" max="3" width="10.5" style="353" bestFit="1" customWidth="1"/>
    <col min="4" max="4" width="10.625" style="353" customWidth="1"/>
    <col min="5" max="5" width="12.625" style="353" customWidth="1"/>
    <col min="6" max="6" width="11.125" style="353" customWidth="1"/>
    <col min="7" max="7" width="12.25" style="353" bestFit="1" customWidth="1"/>
    <col min="8" max="8" width="9.875" style="353" bestFit="1" customWidth="1"/>
    <col min="9" max="12" width="11.125" style="353" customWidth="1"/>
    <col min="13" max="16384" width="9" style="353"/>
  </cols>
  <sheetData>
    <row r="1" spans="1:10" s="343" customFormat="1" ht="39.950000000000003" customHeight="1">
      <c r="A1" s="988" t="s">
        <v>659</v>
      </c>
      <c r="B1" s="988"/>
      <c r="C1" s="988"/>
      <c r="D1" s="988"/>
      <c r="E1" s="988"/>
      <c r="F1" s="988"/>
      <c r="G1" s="988"/>
      <c r="H1" s="988"/>
    </row>
    <row r="2" spans="1:10" ht="20.100000000000001" customHeight="1">
      <c r="A2" s="352"/>
      <c r="B2" s="989"/>
      <c r="C2" s="989"/>
      <c r="D2" s="989"/>
      <c r="E2" s="989"/>
      <c r="F2" s="989"/>
      <c r="G2" s="344"/>
      <c r="H2" s="345"/>
    </row>
    <row r="3" spans="1:10" ht="15.6" customHeight="1">
      <c r="A3" s="346"/>
      <c r="B3" s="442" t="s">
        <v>411</v>
      </c>
      <c r="C3" s="441">
        <v>12</v>
      </c>
      <c r="D3" s="441" t="s">
        <v>27</v>
      </c>
      <c r="E3" s="441">
        <v>160</v>
      </c>
      <c r="F3" s="440" t="s">
        <v>160</v>
      </c>
      <c r="G3" s="344" t="s">
        <v>210</v>
      </c>
      <c r="H3" s="625">
        <v>44146</v>
      </c>
    </row>
    <row r="4" spans="1:10" ht="9.9499999999999993" customHeight="1">
      <c r="F4" s="356"/>
      <c r="G4" s="357"/>
    </row>
    <row r="5" spans="1:10" ht="15" customHeight="1">
      <c r="A5" s="990" t="s">
        <v>285</v>
      </c>
      <c r="B5" s="991" t="s">
        <v>211</v>
      </c>
      <c r="C5" s="1001" t="s">
        <v>212</v>
      </c>
      <c r="D5" s="1002"/>
      <c r="E5" s="358" t="s">
        <v>213</v>
      </c>
      <c r="F5" s="1003" t="s">
        <v>214</v>
      </c>
      <c r="G5" s="1003" t="s">
        <v>215</v>
      </c>
      <c r="H5" s="1005" t="s">
        <v>216</v>
      </c>
    </row>
    <row r="6" spans="1:10" ht="15" customHeight="1">
      <c r="A6" s="990"/>
      <c r="B6" s="991"/>
      <c r="C6" s="359" t="s">
        <v>217</v>
      </c>
      <c r="D6" s="360" t="s">
        <v>218</v>
      </c>
      <c r="E6" s="361" t="s">
        <v>219</v>
      </c>
      <c r="F6" s="1003"/>
      <c r="G6" s="1004"/>
      <c r="H6" s="1005"/>
    </row>
    <row r="7" spans="1:10" ht="20.100000000000001" customHeight="1">
      <c r="A7" s="362">
        <v>1</v>
      </c>
      <c r="B7" s="363" t="s">
        <v>220</v>
      </c>
      <c r="C7" s="364"/>
      <c r="D7" s="365"/>
      <c r="E7" s="365"/>
      <c r="F7" s="364"/>
      <c r="G7" s="366">
        <f>SUM(G8:G12)</f>
        <v>463679.29708862689</v>
      </c>
      <c r="H7" s="367">
        <f>SUM(H8:H12)</f>
        <v>0.9977434927317268</v>
      </c>
    </row>
    <row r="8" spans="1:10" ht="20.100000000000001" customHeight="1">
      <c r="A8" s="368" t="s">
        <v>221</v>
      </c>
      <c r="B8" s="369" t="s">
        <v>396</v>
      </c>
      <c r="C8" s="370">
        <v>6576.05</v>
      </c>
      <c r="D8" s="371">
        <f>C8/$E$3</f>
        <v>41.100312500000001</v>
      </c>
      <c r="E8" s="382">
        <f>C3*E3</f>
        <v>1920</v>
      </c>
      <c r="F8" s="371">
        <f>D8*E8</f>
        <v>78912.600000000006</v>
      </c>
      <c r="G8" s="371">
        <f>F8*$H$37</f>
        <v>199254.9205334204</v>
      </c>
      <c r="H8" s="373">
        <f>G8/$G$23</f>
        <v>0.42875604238806081</v>
      </c>
    </row>
    <row r="9" spans="1:10" ht="20.100000000000001" customHeight="1">
      <c r="A9" s="368" t="s">
        <v>221</v>
      </c>
      <c r="B9" s="369" t="s">
        <v>635</v>
      </c>
      <c r="C9" s="370">
        <v>3793.13</v>
      </c>
      <c r="D9" s="371">
        <f t="shared" ref="D9:D10" si="0">C9/$E$3</f>
        <v>23.707062499999999</v>
      </c>
      <c r="E9" s="382">
        <f>C3*E3</f>
        <v>1920</v>
      </c>
      <c r="F9" s="371">
        <f>D9*E9</f>
        <v>45517.56</v>
      </c>
      <c r="G9" s="371">
        <f>F9*$H$37</f>
        <v>114932.18827760324</v>
      </c>
      <c r="H9" s="373">
        <f>G9/$G$23</f>
        <v>0.24731068149777219</v>
      </c>
      <c r="J9" s="374"/>
    </row>
    <row r="10" spans="1:10" ht="20.100000000000001" customHeight="1">
      <c r="A10" s="368" t="s">
        <v>221</v>
      </c>
      <c r="B10" s="369" t="s">
        <v>635</v>
      </c>
      <c r="C10" s="370">
        <v>3793.13</v>
      </c>
      <c r="D10" s="371">
        <f t="shared" si="0"/>
        <v>23.707062499999999</v>
      </c>
      <c r="E10" s="382">
        <f>C3*E3</f>
        <v>1920</v>
      </c>
      <c r="F10" s="371">
        <f>D10*E10</f>
        <v>45517.56</v>
      </c>
      <c r="G10" s="371">
        <f>F10*$H$37</f>
        <v>114932.18827760324</v>
      </c>
      <c r="H10" s="373">
        <f>G10/$G$23</f>
        <v>0.24731068149777219</v>
      </c>
    </row>
    <row r="11" spans="1:10" ht="20.100000000000001" customHeight="1">
      <c r="A11" s="368" t="s">
        <v>221</v>
      </c>
      <c r="B11" s="369" t="s">
        <v>333</v>
      </c>
      <c r="C11" s="370">
        <v>1440</v>
      </c>
      <c r="D11" s="371">
        <f>C11/120</f>
        <v>12</v>
      </c>
      <c r="E11" s="382">
        <f>12*120</f>
        <v>1440</v>
      </c>
      <c r="F11" s="371">
        <f t="shared" ref="F11:F12" si="1">D11*E11</f>
        <v>17280</v>
      </c>
      <c r="G11" s="371">
        <f>F11</f>
        <v>17280</v>
      </c>
      <c r="H11" s="373">
        <f>G11/$G$23</f>
        <v>3.7183043674060827E-2</v>
      </c>
    </row>
    <row r="12" spans="1:10" ht="20.100000000000001" customHeight="1">
      <c r="A12" s="368" t="s">
        <v>221</v>
      </c>
      <c r="B12" s="369" t="s">
        <v>410</v>
      </c>
      <c r="C12" s="370">
        <v>1440</v>
      </c>
      <c r="D12" s="371">
        <f>C12/120</f>
        <v>12</v>
      </c>
      <c r="E12" s="382">
        <f>12*120</f>
        <v>1440</v>
      </c>
      <c r="F12" s="371">
        <f t="shared" si="1"/>
        <v>17280</v>
      </c>
      <c r="G12" s="371">
        <f>F12</f>
        <v>17280</v>
      </c>
      <c r="H12" s="373">
        <f>G12/$G$23</f>
        <v>3.7183043674060827E-2</v>
      </c>
    </row>
    <row r="13" spans="1:10" ht="6" customHeight="1">
      <c r="A13" s="368"/>
      <c r="B13" s="375"/>
      <c r="C13" s="370"/>
      <c r="D13" s="368"/>
      <c r="E13" s="370"/>
      <c r="F13" s="371"/>
      <c r="G13" s="376"/>
      <c r="H13" s="377"/>
      <c r="I13" s="378"/>
    </row>
    <row r="14" spans="1:10" ht="15" customHeight="1">
      <c r="A14" s="990" t="s">
        <v>285</v>
      </c>
      <c r="B14" s="995" t="s">
        <v>211</v>
      </c>
      <c r="C14" s="996" t="s">
        <v>224</v>
      </c>
      <c r="D14" s="384" t="s">
        <v>170</v>
      </c>
      <c r="E14" s="385" t="s">
        <v>169</v>
      </c>
      <c r="F14" s="384" t="s">
        <v>225</v>
      </c>
      <c r="G14" s="997" t="s">
        <v>226</v>
      </c>
      <c r="H14" s="998" t="s">
        <v>216</v>
      </c>
    </row>
    <row r="15" spans="1:10" ht="15" customHeight="1">
      <c r="A15" s="990"/>
      <c r="B15" s="995"/>
      <c r="C15" s="996"/>
      <c r="D15" s="386" t="s">
        <v>63</v>
      </c>
      <c r="E15" s="386" t="s">
        <v>173</v>
      </c>
      <c r="F15" s="387" t="s">
        <v>173</v>
      </c>
      <c r="G15" s="996"/>
      <c r="H15" s="998"/>
    </row>
    <row r="16" spans="1:10" ht="20.100000000000001" customHeight="1">
      <c r="A16" s="362">
        <v>4</v>
      </c>
      <c r="B16" s="363" t="s">
        <v>227</v>
      </c>
      <c r="C16" s="364"/>
      <c r="D16" s="365"/>
      <c r="E16" s="365"/>
      <c r="F16" s="364"/>
      <c r="G16" s="366">
        <f>SUM(G17:G22)</f>
        <v>1048.6620174927111</v>
      </c>
      <c r="H16" s="367">
        <f>SUM(H17:H22)</f>
        <v>2.2565072682731611E-3</v>
      </c>
    </row>
    <row r="17" spans="1:8" ht="20.100000000000001" customHeight="1">
      <c r="A17" s="368"/>
      <c r="B17" s="402" t="s">
        <v>387</v>
      </c>
      <c r="C17" s="403" t="s">
        <v>406</v>
      </c>
      <c r="D17" s="396">
        <v>0</v>
      </c>
      <c r="E17" s="395">
        <v>2364</v>
      </c>
      <c r="F17" s="371">
        <f t="shared" ref="F17:F22" si="2">D17*E17</f>
        <v>0</v>
      </c>
      <c r="G17" s="371">
        <f t="shared" ref="G17:G22" si="3">F17*$H$40</f>
        <v>0</v>
      </c>
      <c r="H17" s="373">
        <f t="shared" ref="H17:H22" si="4">G17/$G$23</f>
        <v>0</v>
      </c>
    </row>
    <row r="18" spans="1:8" ht="20.100000000000001" customHeight="1">
      <c r="A18" s="368"/>
      <c r="B18" s="404" t="s">
        <v>405</v>
      </c>
      <c r="C18" s="395" t="s">
        <v>63</v>
      </c>
      <c r="D18" s="396">
        <f>12*10</f>
        <v>120</v>
      </c>
      <c r="E18" s="395">
        <v>2</v>
      </c>
      <c r="F18" s="371">
        <f t="shared" si="2"/>
        <v>240</v>
      </c>
      <c r="G18" s="371">
        <f t="shared" si="3"/>
        <v>304.40116618075797</v>
      </c>
      <c r="H18" s="373">
        <f t="shared" si="4"/>
        <v>6.5500936669757944E-4</v>
      </c>
    </row>
    <row r="19" spans="1:8" ht="20.100000000000001" customHeight="1">
      <c r="A19" s="368"/>
      <c r="B19" s="404" t="s">
        <v>389</v>
      </c>
      <c r="C19" s="395" t="s">
        <v>63</v>
      </c>
      <c r="D19" s="396">
        <f>12*100</f>
        <v>1200</v>
      </c>
      <c r="E19" s="395">
        <v>0.3</v>
      </c>
      <c r="F19" s="371">
        <f t="shared" si="2"/>
        <v>360</v>
      </c>
      <c r="G19" s="371">
        <f t="shared" si="3"/>
        <v>456.60174927113695</v>
      </c>
      <c r="H19" s="373">
        <f t="shared" si="4"/>
        <v>9.8251405004636905E-4</v>
      </c>
    </row>
    <row r="20" spans="1:8" ht="20.100000000000001" customHeight="1">
      <c r="A20" s="368"/>
      <c r="B20" s="404" t="s">
        <v>390</v>
      </c>
      <c r="C20" s="395" t="s">
        <v>63</v>
      </c>
      <c r="D20" s="396">
        <f>12</f>
        <v>12</v>
      </c>
      <c r="E20" s="395">
        <v>18.899999999999999</v>
      </c>
      <c r="F20" s="371">
        <f t="shared" si="2"/>
        <v>226.79999999999998</v>
      </c>
      <c r="G20" s="371">
        <f t="shared" si="3"/>
        <v>287.65910204081626</v>
      </c>
      <c r="H20" s="373">
        <f t="shared" si="4"/>
        <v>6.1898385152921252E-4</v>
      </c>
    </row>
    <row r="21" spans="1:8" ht="20.100000000000001" customHeight="1">
      <c r="A21" s="368"/>
      <c r="B21" s="404" t="s">
        <v>408</v>
      </c>
      <c r="C21" s="395" t="s">
        <v>63</v>
      </c>
      <c r="D21" s="396">
        <v>0</v>
      </c>
      <c r="E21" s="395">
        <v>30</v>
      </c>
      <c r="F21" s="371">
        <f t="shared" si="2"/>
        <v>0</v>
      </c>
      <c r="G21" s="371">
        <f t="shared" si="3"/>
        <v>0</v>
      </c>
      <c r="H21" s="373">
        <f t="shared" si="4"/>
        <v>0</v>
      </c>
    </row>
    <row r="22" spans="1:8" ht="20.100000000000001" customHeight="1">
      <c r="A22" s="368"/>
      <c r="B22" s="404" t="s">
        <v>283</v>
      </c>
      <c r="C22" s="395" t="s">
        <v>392</v>
      </c>
      <c r="D22" s="396">
        <v>0</v>
      </c>
      <c r="E22" s="395">
        <v>205</v>
      </c>
      <c r="F22" s="371">
        <f t="shared" si="2"/>
        <v>0</v>
      </c>
      <c r="G22" s="371">
        <f t="shared" si="3"/>
        <v>0</v>
      </c>
      <c r="H22" s="373">
        <f t="shared" si="4"/>
        <v>0</v>
      </c>
    </row>
    <row r="23" spans="1:8" ht="20.100000000000001" customHeight="1">
      <c r="A23" s="405"/>
      <c r="B23" s="405" t="s">
        <v>228</v>
      </c>
      <c r="C23" s="405"/>
      <c r="D23" s="405"/>
      <c r="E23" s="406"/>
      <c r="F23" s="407"/>
      <c r="G23" s="408">
        <f>G7+G16</f>
        <v>464727.95910611958</v>
      </c>
      <c r="H23" s="409">
        <f>H7+H16</f>
        <v>1</v>
      </c>
    </row>
    <row r="24" spans="1:8" ht="6" customHeight="1">
      <c r="A24" s="410"/>
      <c r="B24" s="410"/>
      <c r="C24" s="410"/>
      <c r="D24" s="410"/>
      <c r="E24" s="410"/>
      <c r="F24" s="410"/>
      <c r="G24" s="410"/>
      <c r="H24" s="410"/>
    </row>
    <row r="25" spans="1:8" ht="20.100000000000001" customHeight="1">
      <c r="A25" s="993" t="s">
        <v>229</v>
      </c>
      <c r="B25" s="993"/>
      <c r="C25" s="411"/>
      <c r="D25" s="411"/>
      <c r="E25" s="411"/>
      <c r="F25" s="411"/>
      <c r="G25" s="411"/>
      <c r="H25" s="411"/>
    </row>
    <row r="26" spans="1:8" ht="3" customHeight="1">
      <c r="A26" s="412"/>
      <c r="B26" s="413"/>
      <c r="C26" s="412"/>
      <c r="D26" s="414"/>
      <c r="E26" s="415"/>
      <c r="F26" s="416"/>
      <c r="G26" s="370"/>
      <c r="H26" s="370"/>
    </row>
    <row r="27" spans="1:8">
      <c r="A27" s="417"/>
      <c r="B27" s="417" t="s">
        <v>230</v>
      </c>
      <c r="C27" s="418"/>
      <c r="D27" s="419"/>
      <c r="E27" s="420"/>
      <c r="F27" s="421"/>
      <c r="G27" s="422"/>
      <c r="H27" s="423">
        <v>0.81789999999999996</v>
      </c>
    </row>
    <row r="28" spans="1:8">
      <c r="A28" s="417"/>
      <c r="B28" s="417" t="s">
        <v>231</v>
      </c>
      <c r="C28" s="418"/>
      <c r="D28" s="419"/>
      <c r="E28" s="420"/>
      <c r="F28" s="421"/>
      <c r="G28" s="422"/>
      <c r="H28" s="423">
        <v>0.2</v>
      </c>
    </row>
    <row r="29" spans="1:8">
      <c r="A29" s="424"/>
      <c r="B29" s="424" t="s">
        <v>232</v>
      </c>
      <c r="C29" s="424"/>
      <c r="D29" s="419"/>
      <c r="E29" s="420"/>
      <c r="F29" s="421"/>
      <c r="G29" s="422"/>
      <c r="H29" s="423">
        <v>0.1729</v>
      </c>
    </row>
    <row r="30" spans="1:8">
      <c r="A30" s="424"/>
      <c r="B30" s="424" t="s">
        <v>233</v>
      </c>
      <c r="C30" s="424"/>
      <c r="D30" s="419"/>
      <c r="E30" s="420"/>
      <c r="F30" s="421"/>
      <c r="G30" s="422"/>
      <c r="H30" s="423">
        <v>8.7599999999999997E-2</v>
      </c>
    </row>
    <row r="31" spans="1:8">
      <c r="A31" s="424"/>
      <c r="B31" s="424" t="s">
        <v>234</v>
      </c>
      <c r="C31" s="424"/>
      <c r="D31" s="419"/>
      <c r="E31" s="420"/>
      <c r="F31" s="421"/>
      <c r="G31" s="422"/>
      <c r="H31" s="423">
        <f>(1/(1-(C33+C34+C35)))-1</f>
        <v>0.16618075801749277</v>
      </c>
    </row>
    <row r="32" spans="1:8">
      <c r="A32" s="425"/>
      <c r="B32" s="425" t="s">
        <v>235</v>
      </c>
      <c r="C32" s="417"/>
      <c r="D32" s="419"/>
      <c r="E32" s="420"/>
      <c r="F32" s="421"/>
      <c r="G32" s="422"/>
      <c r="H32" s="423"/>
    </row>
    <row r="33" spans="1:11">
      <c r="A33" s="417"/>
      <c r="B33" s="417" t="s">
        <v>236</v>
      </c>
      <c r="C33" s="426">
        <v>1.6500000000000001E-2</v>
      </c>
      <c r="D33" s="419"/>
      <c r="E33" s="420"/>
      <c r="F33" s="421"/>
      <c r="G33" s="422"/>
      <c r="H33" s="427"/>
    </row>
    <row r="34" spans="1:11">
      <c r="A34" s="417"/>
      <c r="B34" s="417" t="s">
        <v>237</v>
      </c>
      <c r="C34" s="426">
        <v>7.5999999999999998E-2</v>
      </c>
      <c r="D34" s="419"/>
      <c r="E34" s="420"/>
      <c r="F34" s="421"/>
      <c r="G34" s="422"/>
      <c r="H34" s="427"/>
    </row>
    <row r="35" spans="1:11">
      <c r="A35" s="417"/>
      <c r="B35" s="417" t="s">
        <v>238</v>
      </c>
      <c r="C35" s="426">
        <v>0.05</v>
      </c>
      <c r="D35" s="419"/>
      <c r="E35" s="420"/>
      <c r="F35" s="421"/>
      <c r="G35" s="422"/>
      <c r="H35" s="427"/>
    </row>
    <row r="36" spans="1:11" ht="3" customHeight="1">
      <c r="A36" s="412"/>
      <c r="B36" s="428"/>
      <c r="C36" s="429"/>
      <c r="D36" s="430"/>
      <c r="E36" s="415"/>
      <c r="F36" s="428"/>
      <c r="G36" s="370"/>
      <c r="H36" s="414"/>
    </row>
    <row r="37" spans="1:11">
      <c r="A37" s="431" t="s">
        <v>239</v>
      </c>
      <c r="B37" s="432" t="str">
        <f>B7</f>
        <v>EQUIPE TÉCNICA PERMANENTE</v>
      </c>
      <c r="C37" s="994" t="s">
        <v>240</v>
      </c>
      <c r="D37" s="994"/>
      <c r="E37" s="994"/>
      <c r="F37" s="433"/>
      <c r="G37" s="434"/>
      <c r="H37" s="435">
        <f>(1+H27+H29)*(1+H30)*(1+H31)</f>
        <v>2.5250076734693874</v>
      </c>
    </row>
    <row r="38" spans="1:11">
      <c r="A38" s="431" t="s">
        <v>241</v>
      </c>
      <c r="B38" s="432" t="e">
        <f>#REF!</f>
        <v>#REF!</v>
      </c>
      <c r="C38" s="994" t="s">
        <v>242</v>
      </c>
      <c r="D38" s="994"/>
      <c r="E38" s="994"/>
      <c r="F38" s="433"/>
      <c r="G38" s="436"/>
      <c r="H38" s="437">
        <f>(1+H28+H29)*(1+H30)*(1+H31)</f>
        <v>1.7413015043731779</v>
      </c>
    </row>
    <row r="39" spans="1:11">
      <c r="A39" s="431" t="s">
        <v>243</v>
      </c>
      <c r="B39" s="432" t="e">
        <f>#REF!</f>
        <v>#REF!</v>
      </c>
      <c r="C39" s="994" t="s">
        <v>244</v>
      </c>
      <c r="D39" s="994"/>
      <c r="E39" s="994"/>
      <c r="F39" s="433"/>
      <c r="G39" s="436"/>
      <c r="H39" s="437">
        <f>(1+H29)*(1+H30)*(1+H31)</f>
        <v>1.487633865889213</v>
      </c>
    </row>
    <row r="40" spans="1:11">
      <c r="A40" s="431" t="s">
        <v>245</v>
      </c>
      <c r="B40" s="432" t="str">
        <f>B16</f>
        <v>DESPESAS DIRETAS</v>
      </c>
      <c r="C40" s="994" t="s">
        <v>246</v>
      </c>
      <c r="D40" s="994"/>
      <c r="E40" s="994"/>
      <c r="F40" s="433"/>
      <c r="G40" s="436"/>
      <c r="H40" s="437">
        <f>(1+H30)*(1+H31)</f>
        <v>1.2683381924198249</v>
      </c>
    </row>
    <row r="41" spans="1:11" ht="15" customHeight="1">
      <c r="A41" s="346" t="s">
        <v>247</v>
      </c>
    </row>
    <row r="42" spans="1:11" ht="30" customHeight="1">
      <c r="A42" s="349" t="s">
        <v>248</v>
      </c>
      <c r="B42" s="992" t="s">
        <v>249</v>
      </c>
      <c r="C42" s="992"/>
      <c r="D42" s="992"/>
      <c r="E42" s="992"/>
      <c r="F42" s="992"/>
      <c r="G42" s="992"/>
      <c r="H42" s="350"/>
    </row>
    <row r="43" spans="1:11" ht="30" customHeight="1">
      <c r="A43" s="349" t="s">
        <v>250</v>
      </c>
      <c r="B43" s="992" t="s">
        <v>251</v>
      </c>
      <c r="C43" s="992"/>
      <c r="D43" s="992"/>
      <c r="E43" s="992"/>
      <c r="F43" s="992"/>
      <c r="G43" s="992"/>
      <c r="H43" s="350"/>
    </row>
    <row r="44" spans="1:11" ht="14.25" customHeight="1">
      <c r="A44" s="349" t="s">
        <v>252</v>
      </c>
      <c r="B44" s="992" t="s">
        <v>253</v>
      </c>
      <c r="C44" s="992"/>
      <c r="D44" s="992"/>
      <c r="E44" s="992"/>
      <c r="F44" s="992"/>
      <c r="G44" s="992"/>
      <c r="H44" s="350"/>
    </row>
    <row r="45" spans="1:11" ht="9.9499999999999993" customHeight="1">
      <c r="A45" s="351"/>
      <c r="B45" s="351"/>
      <c r="C45" s="351"/>
      <c r="D45" s="351"/>
      <c r="E45" s="351"/>
      <c r="F45" s="351"/>
      <c r="G45" s="351"/>
      <c r="H45" s="351"/>
      <c r="J45" s="438"/>
      <c r="K45" s="438"/>
    </row>
    <row r="48" spans="1:11">
      <c r="D48" s="439"/>
    </row>
    <row r="49" spans="1:9">
      <c r="A49" s="439"/>
      <c r="B49" s="439"/>
      <c r="D49" s="439"/>
    </row>
    <row r="50" spans="1:9">
      <c r="D50" s="352"/>
    </row>
    <row r="51" spans="1:9">
      <c r="D51" s="439"/>
    </row>
    <row r="52" spans="1:9">
      <c r="A52" s="440"/>
      <c r="B52" s="351"/>
      <c r="C52" s="357"/>
      <c r="D52" s="439"/>
      <c r="E52" s="357"/>
      <c r="F52" s="357"/>
      <c r="G52" s="357"/>
      <c r="H52" s="357"/>
      <c r="I52" s="354"/>
    </row>
  </sheetData>
  <mergeCells count="21">
    <mergeCell ref="A25:B25"/>
    <mergeCell ref="A1:H1"/>
    <mergeCell ref="B2:F2"/>
    <mergeCell ref="A5:A6"/>
    <mergeCell ref="B5:B6"/>
    <mergeCell ref="C5:D5"/>
    <mergeCell ref="F5:F6"/>
    <mergeCell ref="G5:G6"/>
    <mergeCell ref="H5:H6"/>
    <mergeCell ref="A14:A15"/>
    <mergeCell ref="B14:B15"/>
    <mergeCell ref="C14:C15"/>
    <mergeCell ref="G14:G15"/>
    <mergeCell ref="H14:H15"/>
    <mergeCell ref="B44:G44"/>
    <mergeCell ref="C37:E37"/>
    <mergeCell ref="C38:E38"/>
    <mergeCell ref="C39:E39"/>
    <mergeCell ref="C40:E40"/>
    <mergeCell ref="B42:G42"/>
    <mergeCell ref="B43:G43"/>
  </mergeCells>
  <printOptions horizontalCentered="1"/>
  <pageMargins left="0.51181102362204722" right="0.51181102362204722" top="0.78740157480314965" bottom="0.78740157480314965" header="0.31496062992125984" footer="0.31496062992125984"/>
  <pageSetup paperSize="9" scale="66" fitToHeight="0" orientation="portrait" r:id="rId1"/>
  <headerFooter>
    <oddFooter>&amp;L&amp;F&amp;C&amp;A&amp;R&amp;P/&amp;N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F91"/>
  <sheetViews>
    <sheetView workbookViewId="0">
      <selection activeCell="E40" sqref="E40"/>
    </sheetView>
  </sheetViews>
  <sheetFormatPr defaultColWidth="8" defaultRowHeight="12.75"/>
  <cols>
    <col min="1" max="1" width="6.875" style="14" customWidth="1"/>
    <col min="2" max="2" width="49.25" style="14" customWidth="1"/>
    <col min="3" max="3" width="11.375" style="33" customWidth="1"/>
    <col min="4" max="4" width="10" style="34" customWidth="1"/>
    <col min="5" max="7" width="8" style="14"/>
    <col min="8" max="8" width="8.25" style="14" bestFit="1" customWidth="1"/>
    <col min="9" max="9" width="8" style="14"/>
    <col min="10" max="10" width="10.25" style="14" bestFit="1" customWidth="1"/>
    <col min="11" max="11" width="8.25" style="14" bestFit="1" customWidth="1"/>
    <col min="12" max="16384" width="8" style="14"/>
  </cols>
  <sheetData>
    <row r="1" spans="1:6" ht="39.950000000000003" customHeight="1">
      <c r="A1" s="1030" t="s">
        <v>801</v>
      </c>
      <c r="B1" s="1030"/>
      <c r="C1" s="1030"/>
      <c r="D1" s="1030"/>
      <c r="E1" s="13"/>
      <c r="F1" s="13"/>
    </row>
    <row r="2" spans="1:6" ht="9.9499999999999993" customHeight="1">
      <c r="A2" s="15"/>
      <c r="B2" s="15"/>
      <c r="C2" s="16"/>
      <c r="D2" s="15"/>
      <c r="E2" s="13"/>
      <c r="F2" s="13"/>
    </row>
    <row r="3" spans="1:6" ht="19.899999999999999" customHeight="1">
      <c r="A3" s="1031" t="s">
        <v>6</v>
      </c>
      <c r="B3" s="1031"/>
      <c r="C3" s="1031"/>
      <c r="D3" s="1031"/>
      <c r="E3" s="13"/>
      <c r="F3" s="13"/>
    </row>
    <row r="4" spans="1:6" ht="19.899999999999999" customHeight="1">
      <c r="A4" s="17"/>
      <c r="B4" s="17"/>
      <c r="C4" s="18"/>
      <c r="D4" s="17"/>
      <c r="E4" s="13"/>
      <c r="F4" s="13"/>
    </row>
    <row r="5" spans="1:6" ht="19.899999999999999" customHeight="1">
      <c r="A5" s="1029" t="s">
        <v>7</v>
      </c>
      <c r="B5" s="1029"/>
      <c r="C5" s="19">
        <f>SUM(C6:C13)</f>
        <v>36.800000000000004</v>
      </c>
      <c r="D5" s="20" t="s">
        <v>2</v>
      </c>
      <c r="E5" s="13"/>
      <c r="F5" s="13"/>
    </row>
    <row r="6" spans="1:6" ht="19.899999999999999" customHeight="1">
      <c r="A6" s="13"/>
      <c r="B6" s="21" t="s">
        <v>8</v>
      </c>
      <c r="C6" s="13">
        <v>20</v>
      </c>
      <c r="D6" s="22" t="s">
        <v>2</v>
      </c>
      <c r="E6" s="13"/>
      <c r="F6" s="13"/>
    </row>
    <row r="7" spans="1:6" ht="19.899999999999999" customHeight="1">
      <c r="A7" s="13"/>
      <c r="B7" s="21" t="s">
        <v>9</v>
      </c>
      <c r="C7" s="13">
        <v>8</v>
      </c>
      <c r="D7" s="22" t="s">
        <v>2</v>
      </c>
      <c r="E7" s="13"/>
      <c r="F7" s="13"/>
    </row>
    <row r="8" spans="1:6" ht="19.899999999999999" customHeight="1">
      <c r="A8" s="13"/>
      <c r="B8" s="21" t="s">
        <v>10</v>
      </c>
      <c r="C8" s="13">
        <v>1.5</v>
      </c>
      <c r="D8" s="22" t="s">
        <v>2</v>
      </c>
      <c r="E8" s="13"/>
      <c r="F8" s="13"/>
    </row>
    <row r="9" spans="1:6" ht="19.899999999999999" customHeight="1">
      <c r="A9" s="13"/>
      <c r="B9" s="21" t="s">
        <v>11</v>
      </c>
      <c r="C9" s="13">
        <v>1</v>
      </c>
      <c r="D9" s="22" t="s">
        <v>2</v>
      </c>
      <c r="E9" s="13"/>
      <c r="F9" s="13"/>
    </row>
    <row r="10" spans="1:6" ht="19.899999999999999" customHeight="1">
      <c r="A10" s="13"/>
      <c r="B10" s="21" t="s">
        <v>12</v>
      </c>
      <c r="C10" s="13">
        <v>2.5</v>
      </c>
      <c r="D10" s="22" t="s">
        <v>2</v>
      </c>
      <c r="E10" s="13"/>
      <c r="F10" s="13"/>
    </row>
    <row r="11" spans="1:6" ht="19.899999999999999" customHeight="1">
      <c r="A11" s="13"/>
      <c r="B11" s="21" t="s">
        <v>13</v>
      </c>
      <c r="C11" s="13">
        <v>0.6</v>
      </c>
      <c r="D11" s="22" t="s">
        <v>2</v>
      </c>
      <c r="E11" s="13"/>
      <c r="F11" s="13"/>
    </row>
    <row r="12" spans="1:6" ht="19.899999999999999" customHeight="1">
      <c r="A12" s="13"/>
      <c r="B12" s="21" t="s">
        <v>14</v>
      </c>
      <c r="C12" s="13">
        <v>0.2</v>
      </c>
      <c r="D12" s="22" t="s">
        <v>2</v>
      </c>
      <c r="E12" s="13"/>
      <c r="F12" s="13"/>
    </row>
    <row r="13" spans="1:6" ht="19.899999999999999" customHeight="1">
      <c r="A13" s="13"/>
      <c r="B13" s="21" t="s">
        <v>15</v>
      </c>
      <c r="C13" s="76">
        <v>3</v>
      </c>
      <c r="D13" s="22" t="s">
        <v>2</v>
      </c>
      <c r="E13" s="13"/>
      <c r="F13" s="13"/>
    </row>
    <row r="14" spans="1:6" ht="9.9499999999999993" customHeight="1">
      <c r="A14" s="13"/>
      <c r="B14" s="13"/>
      <c r="C14" s="13"/>
      <c r="D14" s="22"/>
      <c r="E14" s="13"/>
      <c r="F14" s="13"/>
    </row>
    <row r="15" spans="1:6" ht="19.899999999999999" customHeight="1">
      <c r="A15" s="1029" t="s">
        <v>16</v>
      </c>
      <c r="B15" s="1029"/>
      <c r="C15" s="19">
        <f>SUM(C16:C21)</f>
        <v>11.639251809092018</v>
      </c>
      <c r="D15" s="23" t="s">
        <v>2</v>
      </c>
      <c r="E15" s="13"/>
      <c r="F15" s="13"/>
    </row>
    <row r="16" spans="1:6" ht="19.899999999999999" customHeight="1">
      <c r="A16" s="13"/>
      <c r="B16" s="21" t="s">
        <v>17</v>
      </c>
      <c r="C16" s="24">
        <f>('Dias trabalhados'!C23/'Dias trabalhados'!C44)*100</f>
        <v>9.1756183994625875</v>
      </c>
      <c r="D16" s="22" t="s">
        <v>2</v>
      </c>
      <c r="E16" s="13"/>
      <c r="F16" s="13"/>
    </row>
    <row r="17" spans="1:32" ht="19.899999999999999" customHeight="1">
      <c r="A17" s="13"/>
      <c r="B17" s="21" t="s">
        <v>18</v>
      </c>
      <c r="C17" s="24">
        <f>('Dias trabalhados'!C25/'Dias trabalhados'!C44)*100</f>
        <v>1.3446732060355564</v>
      </c>
      <c r="D17" s="22" t="s">
        <v>2</v>
      </c>
      <c r="E17" s="13"/>
      <c r="F17" s="13"/>
    </row>
    <row r="18" spans="1:32" ht="19.899999999999999" customHeight="1">
      <c r="A18" s="13"/>
      <c r="B18" s="21" t="s">
        <v>19</v>
      </c>
      <c r="C18" s="24">
        <f>('Dias trabalhados'!C27/'Dias trabalhados'!C44)*100</f>
        <v>0.48024043072698458</v>
      </c>
      <c r="D18" s="22" t="s">
        <v>2</v>
      </c>
      <c r="E18" s="13"/>
      <c r="F18" s="13"/>
    </row>
    <row r="19" spans="1:32" ht="19.899999999999999" customHeight="1">
      <c r="A19" s="13"/>
      <c r="B19" s="21" t="s">
        <v>20</v>
      </c>
      <c r="C19" s="24">
        <f>('Dias trabalhados'!C31/'Dias trabalhados'!C44)*100</f>
        <v>0.17928976080474088</v>
      </c>
      <c r="D19" s="22" t="s">
        <v>2</v>
      </c>
      <c r="E19" s="13"/>
      <c r="F19" s="13"/>
    </row>
    <row r="20" spans="1:32" ht="19.899999999999999" customHeight="1">
      <c r="A20" s="13"/>
      <c r="B20" s="21" t="s">
        <v>21</v>
      </c>
      <c r="C20" s="24">
        <f>('Dias trabalhados'!C36/'Dias trabalhados'!C44)*100</f>
        <v>0.17928976080474088</v>
      </c>
      <c r="D20" s="22" t="s">
        <v>2</v>
      </c>
      <c r="E20" s="13"/>
      <c r="F20" s="13"/>
    </row>
    <row r="21" spans="1:32" ht="19.899999999999999" customHeight="1">
      <c r="A21" s="13"/>
      <c r="B21" s="21" t="s">
        <v>22</v>
      </c>
      <c r="C21" s="24">
        <f>('Dias trabalhados'!C41/'Dias trabalhados'!C44)*100</f>
        <v>0.2801402512574076</v>
      </c>
      <c r="D21" s="22" t="s">
        <v>2</v>
      </c>
      <c r="E21" s="13"/>
      <c r="F21" s="13"/>
      <c r="H21" s="82"/>
      <c r="I21" s="82"/>
      <c r="J21" s="82"/>
      <c r="K21" s="82"/>
      <c r="L21" s="82"/>
      <c r="M21" s="82"/>
      <c r="N21" s="82"/>
      <c r="O21" s="82"/>
      <c r="P21" s="82"/>
      <c r="Q21" s="82"/>
      <c r="R21" s="82"/>
      <c r="S21" s="82"/>
      <c r="T21" s="82"/>
      <c r="U21" s="82"/>
      <c r="V21" s="82"/>
      <c r="W21" s="82"/>
      <c r="X21" s="82"/>
      <c r="Y21" s="82"/>
      <c r="Z21" s="82"/>
      <c r="AA21" s="82"/>
      <c r="AB21" s="82"/>
      <c r="AC21" s="82"/>
      <c r="AD21" s="82"/>
      <c r="AE21" s="82"/>
    </row>
    <row r="22" spans="1:32" ht="9.9499999999999993" customHeight="1">
      <c r="A22" s="13"/>
      <c r="B22" s="13"/>
      <c r="C22" s="13"/>
      <c r="D22" s="22"/>
      <c r="E22" s="13"/>
      <c r="F22" s="13"/>
    </row>
    <row r="23" spans="1:32" ht="19.899999999999999" customHeight="1">
      <c r="A23" s="1029" t="s">
        <v>23</v>
      </c>
      <c r="B23" s="1029"/>
      <c r="C23" s="19">
        <f>C24+C30</f>
        <v>7.5942473597850357</v>
      </c>
      <c r="D23" s="23" t="s">
        <v>2</v>
      </c>
      <c r="E23" s="13"/>
      <c r="F23" s="13"/>
      <c r="H23" s="87"/>
      <c r="I23" s="87"/>
      <c r="J23" s="87"/>
      <c r="K23" s="87"/>
      <c r="L23" s="87"/>
      <c r="M23" s="87"/>
      <c r="N23" s="87"/>
      <c r="O23" s="87"/>
      <c r="P23" s="87"/>
      <c r="Q23" s="87"/>
      <c r="R23" s="87"/>
      <c r="S23" s="87"/>
      <c r="T23" s="87"/>
      <c r="U23" s="87"/>
      <c r="V23" s="87"/>
      <c r="W23" s="87"/>
      <c r="X23" s="87"/>
      <c r="Y23" s="87"/>
      <c r="Z23" s="87"/>
      <c r="AA23" s="87"/>
      <c r="AB23" s="87"/>
      <c r="AC23" s="87"/>
      <c r="AD23" s="87"/>
      <c r="AE23" s="87"/>
    </row>
    <row r="24" spans="1:32" ht="19.899999999999999" customHeight="1">
      <c r="A24" s="13"/>
      <c r="B24" s="25" t="s">
        <v>24</v>
      </c>
      <c r="C24" s="75">
        <f>((12/C26)*C25/100*('Dias trabalhados'!C23/'Dias trabalhados'!C44))*100</f>
        <v>3.6702473597850354</v>
      </c>
      <c r="D24" s="26" t="s">
        <v>2</v>
      </c>
      <c r="E24" s="13"/>
      <c r="F24" s="13"/>
      <c r="H24" s="85"/>
      <c r="I24" s="85"/>
      <c r="J24" s="85"/>
      <c r="K24" s="85"/>
      <c r="L24" s="85"/>
      <c r="M24" s="85"/>
      <c r="N24" s="85"/>
      <c r="O24" s="85"/>
      <c r="P24" s="85"/>
      <c r="Q24" s="85"/>
      <c r="R24" s="85"/>
      <c r="S24" s="85"/>
      <c r="T24" s="85"/>
      <c r="U24" s="85"/>
      <c r="V24" s="85"/>
      <c r="W24" s="85"/>
      <c r="X24" s="85"/>
      <c r="Y24" s="85"/>
      <c r="Z24" s="85"/>
      <c r="AA24" s="85"/>
      <c r="AB24" s="85"/>
      <c r="AC24" s="85"/>
      <c r="AD24" s="85"/>
      <c r="AE24" s="85"/>
    </row>
    <row r="25" spans="1:32" ht="19.899999999999999" customHeight="1">
      <c r="A25" s="13"/>
      <c r="B25" s="21" t="s">
        <v>25</v>
      </c>
      <c r="C25" s="22">
        <f>'Dias trabalhados'!C34</f>
        <v>80</v>
      </c>
      <c r="D25" s="22" t="s">
        <v>2</v>
      </c>
      <c r="E25" s="13"/>
      <c r="F25" s="13"/>
      <c r="H25" s="22"/>
      <c r="I25" s="83"/>
      <c r="T25" s="85"/>
      <c r="U25" s="88"/>
    </row>
    <row r="26" spans="1:32" ht="19.899999999999999" customHeight="1">
      <c r="A26" s="13"/>
      <c r="B26" s="21" t="s">
        <v>26</v>
      </c>
      <c r="C26" s="22">
        <f>'Dias trabalhados'!C33</f>
        <v>24</v>
      </c>
      <c r="D26" s="22" t="s">
        <v>27</v>
      </c>
      <c r="E26" s="13"/>
      <c r="F26" s="13"/>
      <c r="I26" s="78"/>
      <c r="AF26" s="84"/>
    </row>
    <row r="27" spans="1:32" ht="19.899999999999999" customHeight="1">
      <c r="A27" s="13"/>
      <c r="B27" s="21" t="s">
        <v>28</v>
      </c>
      <c r="C27" s="13">
        <v>50</v>
      </c>
      <c r="D27" s="22" t="s">
        <v>2</v>
      </c>
      <c r="E27" s="13"/>
      <c r="F27" s="13"/>
      <c r="H27" s="82"/>
      <c r="I27" s="82"/>
      <c r="J27" s="82"/>
      <c r="K27" s="82"/>
      <c r="L27" s="82"/>
      <c r="M27" s="82"/>
      <c r="N27" s="82"/>
      <c r="O27" s="82"/>
      <c r="P27" s="82"/>
      <c r="Q27" s="82"/>
      <c r="R27" s="82"/>
      <c r="S27" s="82"/>
    </row>
    <row r="28" spans="1:32" ht="19.899999999999999" customHeight="1">
      <c r="A28" s="13"/>
      <c r="B28" s="21" t="s">
        <v>29</v>
      </c>
      <c r="C28" s="13">
        <v>3</v>
      </c>
      <c r="D28" s="22" t="s">
        <v>2</v>
      </c>
      <c r="E28" s="13"/>
      <c r="F28" s="13"/>
    </row>
    <row r="29" spans="1:32" ht="19.899999999999999" customHeight="1">
      <c r="A29" s="13"/>
      <c r="B29" s="21" t="s">
        <v>30</v>
      </c>
      <c r="C29" s="13">
        <f>ROUND(((((1+C28/100)^(1/12))-1)*100),3)</f>
        <v>0.247</v>
      </c>
      <c r="D29" s="22" t="s">
        <v>2</v>
      </c>
      <c r="E29" s="13"/>
      <c r="F29" s="13"/>
      <c r="H29" s="85"/>
      <c r="I29" s="85"/>
      <c r="J29" s="85"/>
      <c r="K29" s="85"/>
      <c r="L29" s="85"/>
      <c r="M29" s="85"/>
      <c r="N29" s="85"/>
      <c r="O29" s="85"/>
      <c r="P29" s="85"/>
      <c r="Q29" s="85"/>
      <c r="R29" s="85"/>
      <c r="S29" s="85"/>
      <c r="T29" s="85"/>
    </row>
    <row r="30" spans="1:32" ht="19.899999999999999" customHeight="1">
      <c r="A30" s="13"/>
      <c r="B30" s="25" t="s">
        <v>31</v>
      </c>
      <c r="C30" s="75">
        <f>((12/C26)*(C27/100)*(C25/100)*(C34/100))*100</f>
        <v>3.9240000000000004</v>
      </c>
      <c r="D30" s="26"/>
      <c r="E30" s="13"/>
      <c r="F30" s="13"/>
      <c r="G30" s="77"/>
      <c r="H30" s="77"/>
      <c r="I30" s="85"/>
      <c r="J30" s="85"/>
      <c r="K30" s="85"/>
      <c r="L30" s="85"/>
      <c r="M30" s="85"/>
      <c r="N30" s="85"/>
      <c r="O30" s="85"/>
      <c r="P30" s="85"/>
      <c r="Q30" s="85"/>
      <c r="R30" s="85"/>
      <c r="S30" s="85"/>
      <c r="T30" s="85"/>
    </row>
    <row r="31" spans="1:32" ht="19.899999999999999" customHeight="1">
      <c r="A31" s="13"/>
      <c r="B31" s="21" t="s">
        <v>32</v>
      </c>
      <c r="C31" s="13">
        <v>8</v>
      </c>
      <c r="D31" s="22" t="s">
        <v>2</v>
      </c>
      <c r="E31" s="13"/>
      <c r="F31" s="13"/>
      <c r="I31" s="82"/>
      <c r="J31" s="86"/>
      <c r="K31" s="86"/>
      <c r="L31" s="86"/>
      <c r="M31" s="86"/>
      <c r="N31" s="86"/>
      <c r="O31" s="86"/>
      <c r="P31" s="86"/>
      <c r="Q31" s="86"/>
      <c r="R31" s="86"/>
      <c r="S31" s="86"/>
      <c r="T31" s="85"/>
      <c r="U31" s="82"/>
    </row>
    <row r="32" spans="1:32" ht="19.899999999999999" customHeight="1">
      <c r="A32" s="13"/>
      <c r="B32" s="21" t="s">
        <v>33</v>
      </c>
      <c r="C32" s="24">
        <f>((C31/100)*('Dias trabalhados'!C23/'Dias trabalhados'!C44))*100</f>
        <v>0.73404947195700698</v>
      </c>
      <c r="D32" s="22" t="s">
        <v>2</v>
      </c>
      <c r="E32" s="13"/>
      <c r="F32" s="13"/>
      <c r="G32" s="77"/>
      <c r="H32" s="83"/>
      <c r="I32" s="85"/>
      <c r="J32" s="85"/>
      <c r="K32" s="85"/>
      <c r="L32" s="85"/>
      <c r="M32" s="85"/>
      <c r="N32" s="85"/>
      <c r="O32" s="85"/>
      <c r="P32" s="85"/>
      <c r="Q32" s="85"/>
      <c r="R32" s="85"/>
      <c r="S32" s="85"/>
      <c r="T32" s="82"/>
      <c r="U32" s="82"/>
      <c r="V32" s="82"/>
    </row>
    <row r="33" spans="1:23" ht="19.899999999999999" customHeight="1">
      <c r="A33" s="13"/>
      <c r="B33" s="21" t="s">
        <v>34</v>
      </c>
      <c r="C33" s="24">
        <f>((C32/100)+(C32/100)*(1+C28/100))*100</f>
        <v>1.490120428072724</v>
      </c>
      <c r="D33" s="22" t="s">
        <v>2</v>
      </c>
      <c r="E33" s="13"/>
      <c r="F33" s="13"/>
      <c r="H33" s="82"/>
      <c r="I33" s="82"/>
      <c r="J33" s="82"/>
      <c r="K33" s="82"/>
      <c r="L33" s="82"/>
      <c r="M33" s="82"/>
      <c r="N33" s="82"/>
      <c r="O33" s="82"/>
      <c r="P33" s="82"/>
      <c r="Q33" s="82"/>
      <c r="R33" s="82"/>
      <c r="S33" s="82"/>
      <c r="T33" s="82"/>
      <c r="U33" s="82"/>
      <c r="V33" s="82"/>
      <c r="W33" s="82"/>
    </row>
    <row r="34" spans="1:23" ht="19.899999999999999" customHeight="1">
      <c r="A34" s="13"/>
      <c r="B34" s="21" t="s">
        <v>35</v>
      </c>
      <c r="C34" s="13">
        <v>19.62</v>
      </c>
      <c r="D34" s="22" t="s">
        <v>2</v>
      </c>
      <c r="E34" s="13"/>
      <c r="F34" s="13"/>
      <c r="G34" s="79"/>
      <c r="H34" s="79"/>
      <c r="I34" s="79"/>
      <c r="J34" s="79"/>
      <c r="K34" s="82"/>
      <c r="L34" s="82"/>
      <c r="M34" s="82"/>
      <c r="N34" s="82"/>
      <c r="O34" s="82"/>
      <c r="P34" s="82"/>
      <c r="Q34" s="82"/>
      <c r="R34" s="82"/>
      <c r="S34" s="82"/>
      <c r="T34" s="82"/>
      <c r="U34" s="82"/>
      <c r="W34" s="82"/>
    </row>
    <row r="35" spans="1:23" ht="9.9499999999999993" customHeight="1">
      <c r="A35" s="13"/>
      <c r="B35" s="13"/>
      <c r="C35" s="13"/>
      <c r="D35" s="22"/>
      <c r="E35" s="13"/>
      <c r="F35" s="13"/>
      <c r="W35" s="82"/>
    </row>
    <row r="36" spans="1:23" ht="19.899999999999999" customHeight="1">
      <c r="A36" s="1029" t="s">
        <v>36</v>
      </c>
      <c r="B36" s="1029"/>
      <c r="C36" s="19">
        <f>C37+C38</f>
        <v>12.361810450578529</v>
      </c>
      <c r="D36" s="20" t="s">
        <v>2</v>
      </c>
      <c r="E36" s="13"/>
      <c r="F36" s="13"/>
      <c r="W36" s="82"/>
    </row>
    <row r="37" spans="1:23" ht="19.899999999999999" customHeight="1">
      <c r="A37" s="13"/>
      <c r="B37" s="21" t="s">
        <v>37</v>
      </c>
      <c r="C37" s="24">
        <f>('Dias trabalhados'!C15/'Dias trabalhados'!C44)*100</f>
        <v>9.3032709840910002</v>
      </c>
      <c r="D37" s="22" t="s">
        <v>2</v>
      </c>
      <c r="E37" s="13"/>
      <c r="F37" s="13"/>
      <c r="J37" s="82"/>
      <c r="K37" s="82"/>
      <c r="L37" s="82"/>
      <c r="M37" s="82"/>
      <c r="N37" s="82"/>
      <c r="O37" s="82"/>
      <c r="P37" s="82"/>
      <c r="Q37" s="82"/>
      <c r="R37" s="82"/>
      <c r="S37" s="82"/>
      <c r="T37" s="82"/>
      <c r="U37" s="82"/>
      <c r="W37" s="82"/>
    </row>
    <row r="38" spans="1:23" ht="19.899999999999999" customHeight="1">
      <c r="A38" s="13"/>
      <c r="B38" s="21" t="s">
        <v>38</v>
      </c>
      <c r="C38" s="24">
        <f>(1/3)*('Dias trabalhados'!C23/'Dias trabalhados'!C44)*100</f>
        <v>3.0585394664875287</v>
      </c>
      <c r="D38" s="22" t="s">
        <v>2</v>
      </c>
      <c r="E38" s="13"/>
      <c r="F38" s="13"/>
      <c r="W38" s="82"/>
    </row>
    <row r="39" spans="1:23" ht="9.9499999999999993" customHeight="1">
      <c r="A39" s="13"/>
      <c r="B39" s="13"/>
      <c r="C39" s="13"/>
      <c r="D39" s="22"/>
      <c r="E39" s="13"/>
      <c r="F39" s="13"/>
      <c r="K39" s="82"/>
      <c r="W39" s="82"/>
    </row>
    <row r="40" spans="1:23" ht="19.899999999999999" customHeight="1">
      <c r="A40" s="1029" t="s">
        <v>39</v>
      </c>
      <c r="B40" s="1029"/>
      <c r="C40" s="19">
        <f>C41+C42</f>
        <v>8.8323909115587629</v>
      </c>
      <c r="D40" s="20" t="s">
        <v>2</v>
      </c>
      <c r="E40" s="13"/>
      <c r="F40" s="13"/>
      <c r="J40" s="84"/>
      <c r="K40" s="82"/>
      <c r="W40" s="82"/>
    </row>
    <row r="41" spans="1:23" ht="19.899999999999999" customHeight="1">
      <c r="A41" s="13"/>
      <c r="B41" s="21" t="s">
        <v>40</v>
      </c>
      <c r="C41" s="27">
        <f>((C5/100)*(C15/100))*100</f>
        <v>4.2832446657458636</v>
      </c>
      <c r="D41" s="22" t="s">
        <v>2</v>
      </c>
      <c r="E41" s="13"/>
      <c r="F41" s="13"/>
      <c r="W41" s="82"/>
    </row>
    <row r="42" spans="1:23" ht="19.899999999999999" customHeight="1">
      <c r="A42" s="13"/>
      <c r="B42" s="21" t="s">
        <v>41</v>
      </c>
      <c r="C42" s="27">
        <f>((C5/100)*(C36/100))*100</f>
        <v>4.5491462458128993</v>
      </c>
      <c r="D42" s="22" t="s">
        <v>2</v>
      </c>
      <c r="E42" s="13"/>
      <c r="F42" s="13"/>
      <c r="K42" s="82"/>
      <c r="P42" s="81"/>
    </row>
    <row r="43" spans="1:23" ht="9.9499999999999993" customHeight="1">
      <c r="A43" s="13"/>
      <c r="B43" s="13"/>
      <c r="C43" s="13"/>
      <c r="D43" s="22"/>
      <c r="E43" s="13"/>
      <c r="F43" s="13"/>
      <c r="K43" s="82"/>
    </row>
    <row r="44" spans="1:23" ht="19.899999999999999" customHeight="1">
      <c r="A44" s="28"/>
      <c r="B44" s="29" t="s">
        <v>42</v>
      </c>
      <c r="C44" s="30">
        <f>C5+C15+C23+C36+C40</f>
        <v>77.227700531014349</v>
      </c>
      <c r="D44" s="31" t="s">
        <v>2</v>
      </c>
      <c r="E44" s="13"/>
      <c r="F44" s="13"/>
      <c r="K44" s="82"/>
      <c r="L44" s="82"/>
      <c r="M44" s="82"/>
    </row>
    <row r="45" spans="1:23" ht="19.899999999999999" customHeight="1">
      <c r="A45" s="13"/>
      <c r="B45" s="13"/>
      <c r="C45" s="18"/>
      <c r="D45" s="22"/>
      <c r="E45" s="13"/>
      <c r="F45" s="13"/>
      <c r="K45" s="82"/>
    </row>
    <row r="46" spans="1:23" ht="19.899999999999999" customHeight="1">
      <c r="A46" s="1031" t="s">
        <v>43</v>
      </c>
      <c r="B46" s="1031"/>
      <c r="C46" s="1031"/>
      <c r="D46" s="1031"/>
      <c r="E46" s="13"/>
      <c r="F46" s="13"/>
      <c r="K46" s="82"/>
      <c r="O46" s="80"/>
    </row>
    <row r="47" spans="1:23" ht="19.899999999999999" customHeight="1">
      <c r="A47" s="13"/>
      <c r="B47" s="13"/>
      <c r="C47" s="18"/>
      <c r="D47" s="22"/>
      <c r="E47" s="13"/>
      <c r="F47" s="13"/>
      <c r="K47" s="82"/>
    </row>
    <row r="48" spans="1:23" ht="19.899999999999999" customHeight="1">
      <c r="A48" s="1029" t="s">
        <v>44</v>
      </c>
      <c r="B48" s="1029" t="s">
        <v>45</v>
      </c>
      <c r="C48" s="19">
        <f>C54</f>
        <v>7.2958080491037194</v>
      </c>
      <c r="D48" s="20" t="s">
        <v>2</v>
      </c>
      <c r="E48" s="13"/>
      <c r="F48" s="13"/>
      <c r="J48" s="82"/>
      <c r="K48" s="82"/>
      <c r="L48" s="82"/>
      <c r="M48" s="82"/>
      <c r="N48" s="82"/>
      <c r="O48" s="82"/>
      <c r="P48" s="82"/>
      <c r="Q48" s="82"/>
      <c r="R48" s="82"/>
      <c r="S48" s="82"/>
      <c r="T48" s="82"/>
      <c r="U48" s="82"/>
    </row>
    <row r="49" spans="1:23" ht="19.899999999999999" customHeight="1">
      <c r="A49" s="13"/>
      <c r="B49" s="21" t="s">
        <v>46</v>
      </c>
      <c r="C49" s="27">
        <v>100</v>
      </c>
      <c r="D49" s="22" t="s">
        <v>2</v>
      </c>
      <c r="E49" s="13"/>
      <c r="F49" s="13"/>
      <c r="H49" s="83"/>
      <c r="I49" s="82"/>
      <c r="J49" s="82"/>
      <c r="K49" s="82"/>
      <c r="L49" s="82"/>
      <c r="M49" s="82"/>
      <c r="N49" s="82"/>
      <c r="O49" s="82"/>
      <c r="P49" s="82"/>
      <c r="Q49" s="82"/>
      <c r="R49" s="82"/>
      <c r="S49" s="82"/>
      <c r="T49" s="82"/>
      <c r="U49" s="82"/>
      <c r="V49" s="82"/>
    </row>
    <row r="50" spans="1:23" ht="19.899999999999999" customHeight="1">
      <c r="A50" s="13"/>
      <c r="B50" s="21" t="s">
        <v>47</v>
      </c>
      <c r="C50" s="27">
        <v>20.92</v>
      </c>
      <c r="D50" s="22" t="s">
        <v>48</v>
      </c>
      <c r="E50" s="13"/>
      <c r="F50" s="13"/>
      <c r="H50" s="82"/>
      <c r="I50" s="82"/>
      <c r="J50" s="82"/>
      <c r="K50" s="82"/>
      <c r="L50" s="82"/>
      <c r="M50" s="82"/>
      <c r="N50" s="82"/>
      <c r="O50" s="82"/>
      <c r="P50" s="82"/>
      <c r="Q50" s="82"/>
      <c r="R50" s="82"/>
      <c r="S50" s="82"/>
      <c r="T50" s="82"/>
      <c r="U50" s="82"/>
      <c r="V50" s="82"/>
      <c r="W50" s="82"/>
    </row>
    <row r="51" spans="1:23" ht="19.899999999999999" customHeight="1">
      <c r="A51" s="13"/>
      <c r="B51" s="21" t="s">
        <v>49</v>
      </c>
      <c r="C51" s="27">
        <v>100</v>
      </c>
      <c r="D51" s="22" t="s">
        <v>2</v>
      </c>
      <c r="E51" s="13"/>
      <c r="F51" s="13"/>
      <c r="H51" s="79"/>
      <c r="I51" s="79"/>
      <c r="J51" s="79"/>
      <c r="K51" s="82"/>
      <c r="L51" s="82"/>
      <c r="M51" s="82"/>
      <c r="N51" s="82"/>
      <c r="O51" s="82"/>
      <c r="P51" s="82"/>
      <c r="Q51" s="82"/>
      <c r="R51" s="82"/>
      <c r="S51" s="82"/>
      <c r="T51" s="82"/>
      <c r="U51" s="82"/>
      <c r="W51" s="82"/>
    </row>
    <row r="52" spans="1:23" ht="19.899999999999999" customHeight="1">
      <c r="A52" s="13"/>
      <c r="B52" s="21" t="s">
        <v>50</v>
      </c>
      <c r="C52" s="27">
        <v>21</v>
      </c>
      <c r="D52" s="22" t="s">
        <v>51</v>
      </c>
      <c r="E52" s="13"/>
      <c r="F52" s="13"/>
      <c r="W52" s="82"/>
    </row>
    <row r="53" spans="1:23" ht="19.899999999999999" customHeight="1">
      <c r="A53" s="13"/>
      <c r="B53" s="21" t="s">
        <v>52</v>
      </c>
      <c r="C53" s="24">
        <v>6021.54</v>
      </c>
      <c r="D53" s="22" t="s">
        <v>48</v>
      </c>
      <c r="E53" s="13"/>
      <c r="F53" s="13"/>
      <c r="W53" s="82"/>
    </row>
    <row r="54" spans="1:23" ht="19.899999999999999" customHeight="1">
      <c r="A54" s="13"/>
      <c r="B54" s="21" t="s">
        <v>53</v>
      </c>
      <c r="C54" s="27">
        <f>(((C50*C52)*(C51/100)*(C49/100))/C53)*100</f>
        <v>7.2958080491037194</v>
      </c>
      <c r="D54" s="22" t="s">
        <v>2</v>
      </c>
      <c r="E54" s="13"/>
      <c r="F54" s="13"/>
      <c r="J54" s="82"/>
      <c r="K54" s="82"/>
      <c r="L54" s="82"/>
      <c r="M54" s="82"/>
      <c r="N54" s="82"/>
      <c r="O54" s="82"/>
      <c r="P54" s="82"/>
      <c r="Q54" s="82"/>
      <c r="R54" s="82"/>
      <c r="S54" s="82"/>
      <c r="T54" s="82"/>
      <c r="U54" s="82"/>
      <c r="W54" s="82"/>
    </row>
    <row r="55" spans="1:23" ht="9.9499999999999993" customHeight="1">
      <c r="A55" s="13"/>
      <c r="B55" s="13"/>
      <c r="C55" s="13"/>
      <c r="D55" s="22"/>
      <c r="E55" s="13"/>
      <c r="F55" s="13"/>
      <c r="W55" s="82"/>
    </row>
    <row r="56" spans="1:23" ht="19.899999999999999" customHeight="1">
      <c r="A56" s="1029" t="s">
        <v>54</v>
      </c>
      <c r="B56" s="1029" t="s">
        <v>5</v>
      </c>
      <c r="C56" s="19">
        <f>C64</f>
        <v>0.46019290746221075</v>
      </c>
      <c r="D56" s="20" t="s">
        <v>2</v>
      </c>
      <c r="E56" s="13"/>
      <c r="F56" s="13"/>
      <c r="K56" s="82"/>
      <c r="W56" s="82"/>
    </row>
    <row r="57" spans="1:23" ht="19.899999999999999" customHeight="1">
      <c r="A57" s="13"/>
      <c r="B57" s="21" t="s">
        <v>55</v>
      </c>
      <c r="C57" s="24">
        <v>50</v>
      </c>
      <c r="D57" s="22" t="s">
        <v>2</v>
      </c>
      <c r="E57" s="13"/>
      <c r="F57" s="13"/>
      <c r="J57" s="84"/>
      <c r="K57" s="82"/>
      <c r="W57" s="82"/>
    </row>
    <row r="58" spans="1:23" ht="19.899999999999999" customHeight="1">
      <c r="A58" s="13"/>
      <c r="B58" s="21" t="s">
        <v>56</v>
      </c>
      <c r="C58" s="24">
        <v>4326.3100000000004</v>
      </c>
      <c r="D58" s="22" t="s">
        <v>48</v>
      </c>
      <c r="E58" s="13"/>
      <c r="F58" s="13"/>
      <c r="W58" s="82"/>
    </row>
    <row r="59" spans="1:23" ht="19.899999999999999" customHeight="1">
      <c r="A59" s="13"/>
      <c r="B59" s="21" t="s">
        <v>57</v>
      </c>
      <c r="C59" s="27">
        <v>15</v>
      </c>
      <c r="D59" s="22" t="s">
        <v>48</v>
      </c>
      <c r="E59" s="13"/>
      <c r="F59" s="13"/>
      <c r="K59" s="82"/>
      <c r="P59" s="81"/>
    </row>
    <row r="60" spans="1:23" ht="19.899999999999999" customHeight="1">
      <c r="A60" s="13"/>
      <c r="B60" s="21" t="s">
        <v>50</v>
      </c>
      <c r="C60" s="27">
        <v>21</v>
      </c>
      <c r="D60" s="22" t="s">
        <v>51</v>
      </c>
      <c r="E60" s="13"/>
      <c r="F60" s="13"/>
      <c r="K60" s="82"/>
    </row>
    <row r="61" spans="1:23" ht="19.899999999999999" customHeight="1">
      <c r="A61" s="13"/>
      <c r="B61" s="21" t="s">
        <v>58</v>
      </c>
      <c r="C61" s="27">
        <v>6</v>
      </c>
      <c r="D61" s="22" t="s">
        <v>2</v>
      </c>
      <c r="E61" s="13"/>
      <c r="F61" s="13"/>
      <c r="K61" s="82"/>
      <c r="L61" s="82"/>
      <c r="M61" s="82"/>
    </row>
    <row r="62" spans="1:23" ht="19.899999999999999" customHeight="1">
      <c r="A62" s="13"/>
      <c r="B62" s="21" t="s">
        <v>59</v>
      </c>
      <c r="C62" s="27">
        <f>C58*(C61/100)</f>
        <v>259.57859999999999</v>
      </c>
      <c r="D62" s="22" t="s">
        <v>48</v>
      </c>
      <c r="E62" s="13"/>
      <c r="F62" s="13"/>
      <c r="K62" s="82"/>
    </row>
    <row r="63" spans="1:23" ht="19.899999999999999" customHeight="1">
      <c r="A63" s="13"/>
      <c r="B63" s="21" t="s">
        <v>60</v>
      </c>
      <c r="C63" s="27">
        <f>(C60*C59)-C62</f>
        <v>55.421400000000006</v>
      </c>
      <c r="D63" s="22" t="s">
        <v>48</v>
      </c>
      <c r="E63" s="13"/>
      <c r="F63" s="13"/>
      <c r="K63" s="82"/>
      <c r="O63" s="80"/>
    </row>
    <row r="64" spans="1:23" ht="19.899999999999999" customHeight="1">
      <c r="A64" s="13"/>
      <c r="B64" s="21" t="s">
        <v>53</v>
      </c>
      <c r="C64" s="27">
        <f>((C63/C53)*(C57/100))*100</f>
        <v>0.46019290746221075</v>
      </c>
      <c r="D64" s="22" t="s">
        <v>2</v>
      </c>
      <c r="E64" s="13"/>
      <c r="F64" s="13"/>
    </row>
    <row r="65" spans="1:7" ht="9.9499999999999993" customHeight="1">
      <c r="A65" s="13"/>
      <c r="B65" s="13"/>
      <c r="C65" s="13"/>
      <c r="D65" s="22"/>
      <c r="E65" s="13"/>
      <c r="F65" s="13"/>
    </row>
    <row r="66" spans="1:7" ht="19.899999999999999" customHeight="1">
      <c r="A66" s="1029" t="s">
        <v>61</v>
      </c>
      <c r="B66" s="1029" t="s">
        <v>5</v>
      </c>
      <c r="C66" s="19">
        <f>(C67*C68*C69)/C70</f>
        <v>8.3035188277845275</v>
      </c>
      <c r="D66" s="20" t="s">
        <v>2</v>
      </c>
      <c r="E66" s="13"/>
      <c r="F66" s="13"/>
    </row>
    <row r="67" spans="1:7" ht="19.899999999999999" customHeight="1">
      <c r="A67" s="13"/>
      <c r="B67" s="21" t="s">
        <v>162</v>
      </c>
      <c r="C67" s="27">
        <v>100</v>
      </c>
      <c r="D67" s="22" t="s">
        <v>2</v>
      </c>
      <c r="E67" s="13"/>
      <c r="F67" s="13"/>
    </row>
    <row r="68" spans="1:7" ht="19.899999999999999" customHeight="1">
      <c r="A68" s="13"/>
      <c r="B68" s="21" t="s">
        <v>62</v>
      </c>
      <c r="C68" s="27">
        <v>71</v>
      </c>
      <c r="D68" s="22" t="s">
        <v>63</v>
      </c>
      <c r="E68" s="13"/>
      <c r="F68" s="13"/>
    </row>
    <row r="69" spans="1:7" ht="19.899999999999999" customHeight="1">
      <c r="A69" s="13"/>
      <c r="B69" s="21" t="s">
        <v>64</v>
      </c>
      <c r="C69" s="27">
        <v>500</v>
      </c>
      <c r="D69" s="22" t="s">
        <v>48</v>
      </c>
      <c r="E69" s="13"/>
      <c r="F69" s="24"/>
      <c r="G69" s="32"/>
    </row>
    <row r="70" spans="1:7" ht="19.899999999999999" customHeight="1">
      <c r="A70" s="13"/>
      <c r="B70" s="21" t="s">
        <v>65</v>
      </c>
      <c r="C70" s="24">
        <v>427529.59</v>
      </c>
      <c r="D70" s="22" t="s">
        <v>48</v>
      </c>
      <c r="E70" s="13"/>
      <c r="F70" s="13"/>
    </row>
    <row r="71" spans="1:7" ht="9.9499999999999993" customHeight="1">
      <c r="A71" s="13"/>
      <c r="B71" s="13"/>
      <c r="C71" s="13"/>
      <c r="D71" s="22"/>
      <c r="E71" s="13"/>
      <c r="F71" s="13"/>
    </row>
    <row r="72" spans="1:7" ht="19.899999999999999" customHeight="1">
      <c r="A72" s="28"/>
      <c r="B72" s="29" t="s">
        <v>66</v>
      </c>
      <c r="C72" s="30">
        <f>C48+C56+C66</f>
        <v>16.059519784350456</v>
      </c>
      <c r="D72" s="31" t="s">
        <v>2</v>
      </c>
      <c r="E72" s="13"/>
      <c r="F72" s="13"/>
    </row>
    <row r="73" spans="1:7" ht="19.899999999999999" customHeight="1">
      <c r="A73" s="13"/>
      <c r="B73" s="13"/>
      <c r="C73" s="18"/>
      <c r="D73" s="22"/>
      <c r="E73" s="13"/>
      <c r="F73" s="13"/>
    </row>
    <row r="74" spans="1:7" ht="19.899999999999999" customHeight="1">
      <c r="A74" s="28"/>
      <c r="B74" s="29" t="s">
        <v>67</v>
      </c>
      <c r="C74" s="30">
        <f>C44+C72</f>
        <v>93.287220315364806</v>
      </c>
      <c r="D74" s="31" t="s">
        <v>2</v>
      </c>
      <c r="E74" s="13"/>
      <c r="F74" s="13"/>
    </row>
    <row r="75" spans="1:7" ht="19.899999999999999" customHeight="1">
      <c r="A75" s="13"/>
      <c r="B75" s="13"/>
      <c r="C75" s="18"/>
      <c r="D75" s="22"/>
      <c r="E75" s="13"/>
      <c r="F75" s="13"/>
    </row>
    <row r="76" spans="1:7" ht="19.899999999999999" customHeight="1">
      <c r="A76" s="13"/>
      <c r="B76" s="13"/>
      <c r="C76" s="18"/>
      <c r="D76" s="22"/>
      <c r="E76" s="13"/>
      <c r="F76" s="13"/>
    </row>
    <row r="77" spans="1:7" ht="19.899999999999999" customHeight="1">
      <c r="A77" s="13"/>
      <c r="B77" s="13"/>
      <c r="C77" s="18"/>
      <c r="D77" s="22"/>
      <c r="E77" s="13"/>
      <c r="F77" s="13"/>
    </row>
    <row r="78" spans="1:7" ht="19.899999999999999" customHeight="1">
      <c r="A78" s="13"/>
      <c r="B78" s="13"/>
      <c r="C78" s="18"/>
      <c r="D78" s="22"/>
      <c r="E78" s="13"/>
      <c r="F78" s="13"/>
    </row>
    <row r="79" spans="1:7" ht="19.899999999999999" customHeight="1">
      <c r="A79" s="13"/>
      <c r="B79" s="13"/>
      <c r="C79" s="18"/>
      <c r="D79" s="22"/>
      <c r="E79" s="13"/>
      <c r="F79" s="13"/>
    </row>
    <row r="80" spans="1:7" ht="19.899999999999999" customHeight="1">
      <c r="A80" s="13"/>
      <c r="B80" s="13"/>
      <c r="C80" s="18"/>
      <c r="D80" s="22"/>
      <c r="E80" s="13"/>
      <c r="F80" s="13"/>
    </row>
    <row r="81" spans="1:6" ht="19.899999999999999" customHeight="1">
      <c r="A81" s="13"/>
      <c r="B81" s="13"/>
      <c r="C81" s="18"/>
      <c r="D81" s="22"/>
      <c r="E81" s="13"/>
      <c r="F81" s="13"/>
    </row>
    <row r="82" spans="1:6" ht="19.899999999999999" customHeight="1">
      <c r="A82" s="13"/>
      <c r="B82" s="13"/>
      <c r="C82" s="18"/>
      <c r="D82" s="22"/>
      <c r="E82" s="13"/>
      <c r="F82" s="13"/>
    </row>
    <row r="83" spans="1:6" ht="19.899999999999999" customHeight="1">
      <c r="A83" s="13"/>
      <c r="B83" s="13"/>
      <c r="C83" s="18"/>
      <c r="D83" s="22"/>
      <c r="E83" s="13"/>
      <c r="F83" s="13"/>
    </row>
    <row r="84" spans="1:6" ht="19.899999999999999" customHeight="1">
      <c r="A84" s="13"/>
      <c r="B84" s="13"/>
      <c r="C84" s="18"/>
      <c r="D84" s="22"/>
      <c r="E84" s="13"/>
      <c r="F84" s="13"/>
    </row>
    <row r="85" spans="1:6" ht="19.899999999999999" customHeight="1">
      <c r="A85" s="13"/>
      <c r="B85" s="13"/>
      <c r="C85" s="18"/>
      <c r="D85" s="22"/>
      <c r="E85" s="13"/>
      <c r="F85" s="13"/>
    </row>
    <row r="86" spans="1:6">
      <c r="A86" s="13"/>
      <c r="B86" s="13"/>
      <c r="C86" s="18"/>
      <c r="D86" s="22"/>
      <c r="E86" s="13"/>
      <c r="F86" s="13"/>
    </row>
    <row r="87" spans="1:6">
      <c r="A87" s="13"/>
      <c r="B87" s="13"/>
      <c r="C87" s="18"/>
      <c r="D87" s="22"/>
      <c r="E87" s="13"/>
      <c r="F87" s="13"/>
    </row>
    <row r="88" spans="1:6">
      <c r="A88" s="13"/>
      <c r="B88" s="13"/>
      <c r="C88" s="18"/>
      <c r="D88" s="22"/>
      <c r="E88" s="13"/>
      <c r="F88" s="13"/>
    </row>
    <row r="89" spans="1:6">
      <c r="A89" s="13"/>
      <c r="B89" s="13"/>
      <c r="C89" s="18"/>
      <c r="D89" s="22"/>
      <c r="E89" s="13"/>
      <c r="F89" s="13"/>
    </row>
    <row r="90" spans="1:6">
      <c r="A90" s="13"/>
      <c r="B90" s="13"/>
      <c r="C90" s="18"/>
      <c r="D90" s="22"/>
      <c r="E90" s="13"/>
      <c r="F90" s="13"/>
    </row>
    <row r="91" spans="1:6">
      <c r="A91" s="13"/>
      <c r="B91" s="13"/>
      <c r="C91" s="18"/>
      <c r="D91" s="22"/>
      <c r="E91" s="13"/>
      <c r="F91" s="13"/>
    </row>
  </sheetData>
  <mergeCells count="11">
    <mergeCell ref="A40:B40"/>
    <mergeCell ref="A46:D46"/>
    <mergeCell ref="A48:B48"/>
    <mergeCell ref="A56:B56"/>
    <mergeCell ref="A66:B66"/>
    <mergeCell ref="A36:B36"/>
    <mergeCell ref="A1:D1"/>
    <mergeCell ref="A3:D3"/>
    <mergeCell ref="A5:B5"/>
    <mergeCell ref="A15:B15"/>
    <mergeCell ref="A23:B23"/>
  </mergeCells>
  <printOptions horizontalCentered="1"/>
  <pageMargins left="0.51181102362204722" right="0.51181102362204722" top="0.78740157480314965" bottom="0.78740157480314965" header="0.31496062992125984" footer="0.31496062992125984"/>
  <pageSetup paperSize="9" orientation="portrait" r:id="rId1"/>
  <headerFooter>
    <oddFooter>&amp;L&amp;F&amp;C&amp;A&amp;R&amp;P/&amp;N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H57"/>
  <sheetViews>
    <sheetView zoomScaleNormal="100" workbookViewId="0">
      <selection activeCell="E40" sqref="E40"/>
    </sheetView>
  </sheetViews>
  <sheetFormatPr defaultColWidth="8" defaultRowHeight="15.75"/>
  <cols>
    <col min="1" max="1" width="9.625" style="35" customWidth="1"/>
    <col min="2" max="2" width="51.25" style="35" bestFit="1" customWidth="1"/>
    <col min="3" max="3" width="9.125" style="72" bestFit="1" customWidth="1"/>
    <col min="4" max="4" width="9.125" style="73" bestFit="1" customWidth="1"/>
    <col min="5" max="5" width="8.5" style="74" customWidth="1"/>
    <col min="6" max="6" width="10.75" style="35" customWidth="1"/>
    <col min="7" max="7" width="8" style="35"/>
    <col min="8" max="8" width="10.625" style="35" customWidth="1"/>
    <col min="9" max="16384" width="8" style="35"/>
  </cols>
  <sheetData>
    <row r="1" spans="1:8" ht="20.100000000000001" customHeight="1">
      <c r="A1" s="1034" t="s">
        <v>800</v>
      </c>
      <c r="B1" s="1034"/>
      <c r="C1" s="1034"/>
      <c r="D1" s="1034"/>
      <c r="E1" s="35"/>
    </row>
    <row r="2" spans="1:8" ht="20.100000000000001" customHeight="1">
      <c r="A2" s="1034"/>
      <c r="B2" s="1034"/>
      <c r="C2" s="1034"/>
      <c r="D2" s="1034"/>
      <c r="E2" s="35"/>
    </row>
    <row r="3" spans="1:8" ht="20.100000000000001" customHeight="1">
      <c r="A3" s="36"/>
      <c r="B3" s="36"/>
      <c r="C3" s="37"/>
      <c r="D3" s="37"/>
      <c r="E3" s="37"/>
      <c r="F3" s="37"/>
      <c r="G3" s="37"/>
      <c r="H3" s="37"/>
    </row>
    <row r="4" spans="1:8" ht="20.100000000000001" customHeight="1">
      <c r="A4" s="38" t="s">
        <v>3</v>
      </c>
      <c r="B4" s="39" t="s">
        <v>4</v>
      </c>
      <c r="C4" s="40" t="s">
        <v>68</v>
      </c>
      <c r="D4" s="40" t="s">
        <v>69</v>
      </c>
      <c r="E4" s="1032" t="s">
        <v>0</v>
      </c>
      <c r="F4" s="1032"/>
      <c r="G4" s="1032"/>
      <c r="H4" s="1032"/>
    </row>
    <row r="5" spans="1:8" ht="5.0999999999999996" customHeight="1">
      <c r="A5" s="41"/>
      <c r="B5" s="41"/>
      <c r="C5" s="42"/>
      <c r="D5" s="43"/>
      <c r="E5" s="44"/>
      <c r="F5" s="41"/>
      <c r="G5" s="41"/>
      <c r="H5" s="41"/>
    </row>
    <row r="6" spans="1:8" ht="20.100000000000001" customHeight="1">
      <c r="A6" s="45">
        <v>1</v>
      </c>
      <c r="B6" s="45" t="s">
        <v>70</v>
      </c>
      <c r="C6" s="46">
        <f>C13</f>
        <v>115.93</v>
      </c>
      <c r="D6" s="47"/>
      <c r="E6" s="47"/>
      <c r="F6" s="48"/>
      <c r="G6" s="48"/>
      <c r="H6" s="48"/>
    </row>
    <row r="7" spans="1:8" ht="18" customHeight="1">
      <c r="A7" s="49" t="s">
        <v>71</v>
      </c>
      <c r="B7" s="50" t="s">
        <v>72</v>
      </c>
      <c r="C7" s="51">
        <v>365</v>
      </c>
      <c r="D7" s="52" t="s">
        <v>51</v>
      </c>
      <c r="E7" s="50" t="s">
        <v>73</v>
      </c>
      <c r="F7" s="53"/>
      <c r="G7" s="53"/>
      <c r="H7" s="53"/>
    </row>
    <row r="8" spans="1:8" ht="18" customHeight="1">
      <c r="A8" s="49" t="s">
        <v>74</v>
      </c>
      <c r="B8" s="50" t="s">
        <v>75</v>
      </c>
      <c r="C8" s="51">
        <v>7</v>
      </c>
      <c r="D8" s="52" t="s">
        <v>51</v>
      </c>
      <c r="E8" s="50" t="s">
        <v>73</v>
      </c>
      <c r="F8" s="53"/>
      <c r="G8" s="53"/>
      <c r="H8" s="53"/>
    </row>
    <row r="9" spans="1:8" ht="18" customHeight="1">
      <c r="A9" s="49" t="s">
        <v>76</v>
      </c>
      <c r="B9" s="50" t="s">
        <v>77</v>
      </c>
      <c r="C9" s="51">
        <v>2</v>
      </c>
      <c r="D9" s="52" t="s">
        <v>51</v>
      </c>
      <c r="E9" s="50" t="s">
        <v>73</v>
      </c>
      <c r="F9" s="53"/>
      <c r="G9" s="53"/>
      <c r="H9" s="53"/>
    </row>
    <row r="10" spans="1:8" ht="18" customHeight="1">
      <c r="A10" s="49" t="s">
        <v>78</v>
      </c>
      <c r="B10" s="50" t="s">
        <v>79</v>
      </c>
      <c r="C10" s="54">
        <f>ROUND((C7/C8),2)</f>
        <v>52.14</v>
      </c>
      <c r="D10" s="52" t="s">
        <v>80</v>
      </c>
      <c r="E10" s="50" t="s">
        <v>81</v>
      </c>
      <c r="F10" s="53" t="s">
        <v>82</v>
      </c>
      <c r="G10" s="53"/>
      <c r="H10" s="53"/>
    </row>
    <row r="11" spans="1:8" ht="18" customHeight="1">
      <c r="A11" s="49" t="s">
        <v>83</v>
      </c>
      <c r="B11" s="50" t="s">
        <v>84</v>
      </c>
      <c r="C11" s="54">
        <f>C10*2</f>
        <v>104.28</v>
      </c>
      <c r="D11" s="52" t="s">
        <v>51</v>
      </c>
      <c r="E11" s="50" t="s">
        <v>81</v>
      </c>
      <c r="F11" s="53" t="s">
        <v>85</v>
      </c>
      <c r="G11" s="53"/>
      <c r="H11" s="53"/>
    </row>
    <row r="12" spans="1:8" ht="18" customHeight="1">
      <c r="A12" s="49" t="s">
        <v>86</v>
      </c>
      <c r="B12" s="50" t="s">
        <v>164</v>
      </c>
      <c r="C12" s="54">
        <f>(14.5-2.85)</f>
        <v>11.65</v>
      </c>
      <c r="D12" s="52" t="s">
        <v>51</v>
      </c>
      <c r="E12" s="56"/>
      <c r="F12" s="57"/>
      <c r="G12" s="57"/>
      <c r="H12" s="57"/>
    </row>
    <row r="13" spans="1:8" ht="18" customHeight="1">
      <c r="A13" s="49" t="s">
        <v>87</v>
      </c>
      <c r="B13" s="50" t="s">
        <v>88</v>
      </c>
      <c r="C13" s="58">
        <f>C11+C12</f>
        <v>115.93</v>
      </c>
      <c r="D13" s="52" t="s">
        <v>51</v>
      </c>
      <c r="E13" s="50" t="s">
        <v>81</v>
      </c>
      <c r="F13" s="53" t="s">
        <v>89</v>
      </c>
      <c r="G13" s="53"/>
      <c r="H13" s="53"/>
    </row>
    <row r="14" spans="1:8" ht="5.0999999999999996" customHeight="1">
      <c r="A14" s="49"/>
      <c r="B14" s="49"/>
      <c r="C14" s="42"/>
      <c r="D14" s="52"/>
      <c r="E14" s="50"/>
      <c r="F14" s="53"/>
      <c r="G14" s="53"/>
      <c r="H14" s="53"/>
    </row>
    <row r="15" spans="1:8" ht="20.100000000000001" customHeight="1">
      <c r="A15" s="45">
        <v>2</v>
      </c>
      <c r="B15" s="45" t="s">
        <v>90</v>
      </c>
      <c r="C15" s="46">
        <f>C20</f>
        <v>166.04666666666665</v>
      </c>
      <c r="D15" s="47"/>
      <c r="E15" s="47"/>
      <c r="F15" s="48"/>
      <c r="G15" s="48"/>
      <c r="H15" s="48"/>
    </row>
    <row r="16" spans="1:8" ht="18" customHeight="1">
      <c r="A16" s="49" t="s">
        <v>91</v>
      </c>
      <c r="B16" s="50" t="s">
        <v>92</v>
      </c>
      <c r="C16" s="54">
        <f>C7-C13</f>
        <v>249.07</v>
      </c>
      <c r="D16" s="52" t="s">
        <v>51</v>
      </c>
      <c r="E16" s="50" t="s">
        <v>81</v>
      </c>
      <c r="F16" s="53" t="s">
        <v>93</v>
      </c>
      <c r="G16" s="53"/>
      <c r="H16" s="53"/>
    </row>
    <row r="17" spans="1:8" ht="18" customHeight="1">
      <c r="A17" s="49" t="s">
        <v>94</v>
      </c>
      <c r="B17" s="50" t="s">
        <v>95</v>
      </c>
      <c r="C17" s="51">
        <v>8</v>
      </c>
      <c r="D17" s="52" t="s">
        <v>96</v>
      </c>
      <c r="E17" s="50" t="s">
        <v>73</v>
      </c>
      <c r="F17" s="53" t="s">
        <v>97</v>
      </c>
      <c r="G17" s="53"/>
      <c r="H17" s="53"/>
    </row>
    <row r="18" spans="1:8" ht="18" customHeight="1">
      <c r="A18" s="49" t="s">
        <v>98</v>
      </c>
      <c r="B18" s="50" t="s">
        <v>99</v>
      </c>
      <c r="C18" s="54">
        <f>C16*C17</f>
        <v>1992.56</v>
      </c>
      <c r="D18" s="52" t="s">
        <v>96</v>
      </c>
      <c r="E18" s="50" t="s">
        <v>81</v>
      </c>
      <c r="F18" s="53" t="s">
        <v>100</v>
      </c>
      <c r="G18" s="53"/>
      <c r="H18" s="53"/>
    </row>
    <row r="19" spans="1:8" ht="18" customHeight="1">
      <c r="A19" s="49" t="s">
        <v>101</v>
      </c>
      <c r="B19" s="50" t="s">
        <v>102</v>
      </c>
      <c r="C19" s="51">
        <v>12</v>
      </c>
      <c r="D19" s="52" t="s">
        <v>27</v>
      </c>
      <c r="E19" s="50" t="s">
        <v>73</v>
      </c>
      <c r="F19" s="53"/>
      <c r="G19" s="53"/>
      <c r="H19" s="53"/>
    </row>
    <row r="20" spans="1:8" ht="18" customHeight="1">
      <c r="A20" s="49" t="s">
        <v>103</v>
      </c>
      <c r="B20" s="50" t="s">
        <v>104</v>
      </c>
      <c r="C20" s="58">
        <f>C18/C19</f>
        <v>166.04666666666665</v>
      </c>
      <c r="D20" s="52" t="s">
        <v>96</v>
      </c>
      <c r="E20" s="50" t="s">
        <v>81</v>
      </c>
      <c r="F20" s="53" t="s">
        <v>105</v>
      </c>
      <c r="G20" s="53"/>
      <c r="H20" s="53"/>
    </row>
    <row r="21" spans="1:8" ht="5.0999999999999996" customHeight="1">
      <c r="A21" s="49"/>
      <c r="B21" s="50"/>
      <c r="C21" s="42"/>
      <c r="D21" s="52"/>
      <c r="E21" s="50"/>
      <c r="F21" s="53"/>
      <c r="G21" s="53"/>
      <c r="H21" s="53"/>
    </row>
    <row r="22" spans="1:8" ht="20.100000000000001" customHeight="1">
      <c r="A22" s="45">
        <v>3</v>
      </c>
      <c r="B22" s="45" t="s">
        <v>106</v>
      </c>
      <c r="C22" s="46">
        <f>C23+C25+C27+C31+C36</f>
        <v>202.73972602739727</v>
      </c>
      <c r="D22" s="59" t="s">
        <v>107</v>
      </c>
      <c r="E22" s="59"/>
      <c r="F22" s="53" t="s">
        <v>108</v>
      </c>
      <c r="G22" s="53"/>
      <c r="H22" s="53"/>
    </row>
    <row r="23" spans="1:8" ht="20.100000000000001" customHeight="1">
      <c r="A23" s="60" t="s">
        <v>109</v>
      </c>
      <c r="B23" s="45" t="s">
        <v>110</v>
      </c>
      <c r="C23" s="61">
        <f>C17*(C24-((C24/C8)+(C24/C8)+(C24*(C12/C7))))</f>
        <v>163.76829745596871</v>
      </c>
      <c r="D23" s="52" t="s">
        <v>96</v>
      </c>
      <c r="E23" s="50" t="s">
        <v>81</v>
      </c>
      <c r="F23" s="53"/>
      <c r="G23" s="53"/>
      <c r="H23" s="53"/>
    </row>
    <row r="24" spans="1:8" ht="18" customHeight="1">
      <c r="A24" s="62" t="s">
        <v>111</v>
      </c>
      <c r="B24" s="50" t="s">
        <v>112</v>
      </c>
      <c r="C24" s="51">
        <v>30</v>
      </c>
      <c r="D24" s="52" t="s">
        <v>113</v>
      </c>
      <c r="E24" s="50" t="s">
        <v>73</v>
      </c>
      <c r="F24" s="53"/>
      <c r="G24" s="53"/>
      <c r="H24" s="53"/>
    </row>
    <row r="25" spans="1:8" ht="20.100000000000001" customHeight="1">
      <c r="A25" s="60" t="s">
        <v>114</v>
      </c>
      <c r="B25" s="45" t="s">
        <v>115</v>
      </c>
      <c r="C25" s="63">
        <f>C26*C17</f>
        <v>24</v>
      </c>
      <c r="D25" s="52" t="s">
        <v>96</v>
      </c>
      <c r="E25" s="50" t="s">
        <v>81</v>
      </c>
      <c r="F25" s="53" t="s">
        <v>116</v>
      </c>
      <c r="G25" s="53"/>
      <c r="H25" s="53"/>
    </row>
    <row r="26" spans="1:8" ht="18" customHeight="1">
      <c r="A26" s="62" t="s">
        <v>117</v>
      </c>
      <c r="B26" s="50" t="s">
        <v>118</v>
      </c>
      <c r="C26" s="51">
        <v>3</v>
      </c>
      <c r="D26" s="52" t="s">
        <v>113</v>
      </c>
      <c r="E26" s="50" t="s">
        <v>73</v>
      </c>
      <c r="F26" s="53"/>
      <c r="G26" s="53"/>
      <c r="H26" s="53"/>
    </row>
    <row r="27" spans="1:8" ht="20.100000000000001" customHeight="1">
      <c r="A27" s="60" t="s">
        <v>119</v>
      </c>
      <c r="B27" s="45" t="s">
        <v>120</v>
      </c>
      <c r="C27" s="61">
        <f>C17*(C29-C30)*(C28/100)</f>
        <v>8.571428571428573</v>
      </c>
      <c r="D27" s="52" t="s">
        <v>96</v>
      </c>
      <c r="E27" s="50" t="s">
        <v>81</v>
      </c>
      <c r="F27" s="53" t="s">
        <v>121</v>
      </c>
      <c r="G27" s="53"/>
      <c r="H27" s="53"/>
    </row>
    <row r="28" spans="1:8" ht="18" customHeight="1">
      <c r="A28" s="62" t="s">
        <v>122</v>
      </c>
      <c r="B28" s="50" t="s">
        <v>123</v>
      </c>
      <c r="C28" s="51">
        <v>10</v>
      </c>
      <c r="D28" s="52" t="s">
        <v>2</v>
      </c>
      <c r="E28" s="50" t="s">
        <v>73</v>
      </c>
      <c r="F28" s="53"/>
      <c r="G28" s="53"/>
      <c r="H28" s="53"/>
    </row>
    <row r="29" spans="1:8" ht="18" customHeight="1">
      <c r="A29" s="62" t="s">
        <v>124</v>
      </c>
      <c r="B29" s="50" t="s">
        <v>125</v>
      </c>
      <c r="C29" s="51">
        <v>15</v>
      </c>
      <c r="D29" s="52" t="s">
        <v>113</v>
      </c>
      <c r="E29" s="50" t="s">
        <v>73</v>
      </c>
      <c r="F29" s="53" t="s">
        <v>163</v>
      </c>
      <c r="G29" s="53"/>
      <c r="H29" s="53"/>
    </row>
    <row r="30" spans="1:8" ht="18" customHeight="1">
      <c r="A30" s="62" t="s">
        <v>126</v>
      </c>
      <c r="B30" s="50" t="s">
        <v>127</v>
      </c>
      <c r="C30" s="51">
        <f>(C29/C8)*C9</f>
        <v>4.2857142857142856</v>
      </c>
      <c r="D30" s="52" t="s">
        <v>113</v>
      </c>
      <c r="E30" s="50" t="s">
        <v>81</v>
      </c>
      <c r="F30" s="53" t="s">
        <v>128</v>
      </c>
      <c r="G30" s="53"/>
      <c r="H30" s="53"/>
    </row>
    <row r="31" spans="1:8" ht="20.100000000000001" customHeight="1">
      <c r="A31" s="60" t="s">
        <v>129</v>
      </c>
      <c r="B31" s="45" t="s">
        <v>130</v>
      </c>
      <c r="C31" s="61">
        <f>C32*C17*(C34/100)*(C35/100)*(C19/C33)</f>
        <v>3.2</v>
      </c>
      <c r="D31" s="52" t="s">
        <v>96</v>
      </c>
      <c r="E31" s="50" t="s">
        <v>81</v>
      </c>
      <c r="F31" s="53" t="s">
        <v>131</v>
      </c>
      <c r="G31" s="53"/>
      <c r="H31" s="53"/>
    </row>
    <row r="32" spans="1:8" ht="18" customHeight="1">
      <c r="A32" s="62" t="s">
        <v>132</v>
      </c>
      <c r="B32" s="50" t="s">
        <v>133</v>
      </c>
      <c r="C32" s="55">
        <f>C8-C9</f>
        <v>5</v>
      </c>
      <c r="D32" s="52" t="s">
        <v>113</v>
      </c>
      <c r="E32" s="50" t="s">
        <v>81</v>
      </c>
      <c r="F32" s="53" t="s">
        <v>134</v>
      </c>
      <c r="G32" s="53" t="s">
        <v>135</v>
      </c>
      <c r="H32" s="53"/>
    </row>
    <row r="33" spans="1:8" ht="18" customHeight="1">
      <c r="A33" s="62" t="s">
        <v>136</v>
      </c>
      <c r="B33" s="50" t="s">
        <v>137</v>
      </c>
      <c r="C33" s="51">
        <v>24</v>
      </c>
      <c r="D33" s="52" t="s">
        <v>27</v>
      </c>
      <c r="E33" s="50" t="s">
        <v>73</v>
      </c>
      <c r="F33" s="53"/>
      <c r="G33" s="53"/>
      <c r="H33" s="53"/>
    </row>
    <row r="34" spans="1:8" ht="18" customHeight="1">
      <c r="A34" s="62" t="s">
        <v>138</v>
      </c>
      <c r="B34" s="50" t="s">
        <v>139</v>
      </c>
      <c r="C34" s="51">
        <v>80</v>
      </c>
      <c r="D34" s="52" t="s">
        <v>2</v>
      </c>
      <c r="E34" s="50" t="s">
        <v>73</v>
      </c>
      <c r="F34" s="53"/>
      <c r="G34" s="53"/>
      <c r="H34" s="53"/>
    </row>
    <row r="35" spans="1:8" ht="18" customHeight="1">
      <c r="A35" s="62" t="s">
        <v>140</v>
      </c>
      <c r="B35" s="50" t="s">
        <v>141</v>
      </c>
      <c r="C35" s="51">
        <v>20</v>
      </c>
      <c r="D35" s="52" t="s">
        <v>2</v>
      </c>
      <c r="E35" s="50" t="s">
        <v>73</v>
      </c>
      <c r="F35" s="53"/>
      <c r="G35" s="53"/>
      <c r="H35" s="53"/>
    </row>
    <row r="36" spans="1:8" ht="20.100000000000001" customHeight="1">
      <c r="A36" s="60" t="s">
        <v>142</v>
      </c>
      <c r="B36" s="45" t="s">
        <v>143</v>
      </c>
      <c r="C36" s="61">
        <f>C37*C17*(C38/100)*(C39/100)</f>
        <v>3.2</v>
      </c>
      <c r="D36" s="52" t="s">
        <v>96</v>
      </c>
      <c r="E36" s="50" t="s">
        <v>81</v>
      </c>
      <c r="F36" s="53" t="s">
        <v>144</v>
      </c>
      <c r="G36" s="53"/>
      <c r="H36" s="53"/>
    </row>
    <row r="37" spans="1:8" ht="18" customHeight="1">
      <c r="A37" s="62" t="s">
        <v>145</v>
      </c>
      <c r="B37" s="50" t="s">
        <v>146</v>
      </c>
      <c r="C37" s="51">
        <v>5</v>
      </c>
      <c r="D37" s="52" t="s">
        <v>113</v>
      </c>
      <c r="E37" s="50" t="s">
        <v>73</v>
      </c>
      <c r="F37" s="53"/>
      <c r="G37" s="53"/>
      <c r="H37" s="53"/>
    </row>
    <row r="38" spans="1:8" ht="18" customHeight="1">
      <c r="A38" s="62" t="s">
        <v>147</v>
      </c>
      <c r="B38" s="50" t="s">
        <v>148</v>
      </c>
      <c r="C38" s="51">
        <v>80</v>
      </c>
      <c r="D38" s="52" t="s">
        <v>2</v>
      </c>
      <c r="E38" s="50" t="s">
        <v>73</v>
      </c>
      <c r="F38" s="53"/>
      <c r="G38" s="53"/>
      <c r="H38" s="53"/>
    </row>
    <row r="39" spans="1:8" ht="18" customHeight="1">
      <c r="A39" s="62" t="s">
        <v>149</v>
      </c>
      <c r="B39" s="50" t="s">
        <v>150</v>
      </c>
      <c r="C39" s="64">
        <v>10</v>
      </c>
      <c r="D39" s="52" t="s">
        <v>2</v>
      </c>
      <c r="E39" s="50" t="s">
        <v>73</v>
      </c>
      <c r="F39" s="53"/>
      <c r="G39" s="53"/>
      <c r="H39" s="53"/>
    </row>
    <row r="40" spans="1:8" ht="5.0999999999999996" customHeight="1">
      <c r="A40" s="49"/>
      <c r="B40" s="49"/>
      <c r="C40" s="42"/>
      <c r="D40" s="52"/>
      <c r="E40" s="50"/>
      <c r="F40" s="49"/>
      <c r="G40" s="49"/>
      <c r="H40" s="49"/>
    </row>
    <row r="41" spans="1:8" ht="20.100000000000001" customHeight="1">
      <c r="A41" s="45">
        <v>4</v>
      </c>
      <c r="B41" s="45" t="s">
        <v>151</v>
      </c>
      <c r="C41" s="65">
        <v>5</v>
      </c>
      <c r="D41" s="66" t="s">
        <v>107</v>
      </c>
      <c r="E41" s="50" t="s">
        <v>73</v>
      </c>
      <c r="F41" s="49"/>
      <c r="G41" s="49"/>
      <c r="H41" s="49"/>
    </row>
    <row r="42" spans="1:8" ht="5.0999999999999996" customHeight="1">
      <c r="A42" s="41"/>
      <c r="B42" s="41"/>
      <c r="C42" s="42"/>
      <c r="D42" s="43"/>
      <c r="E42" s="44"/>
      <c r="F42" s="41"/>
      <c r="G42" s="41"/>
      <c r="H42" s="41"/>
    </row>
    <row r="43" spans="1:8" ht="20.100000000000001" customHeight="1">
      <c r="A43" s="67" t="s">
        <v>152</v>
      </c>
      <c r="B43" s="68" t="s">
        <v>153</v>
      </c>
      <c r="C43" s="69">
        <f>C22+C41</f>
        <v>207.73972602739727</v>
      </c>
      <c r="D43" s="70" t="s">
        <v>107</v>
      </c>
      <c r="E43" s="71" t="s">
        <v>81</v>
      </c>
      <c r="F43" s="1033" t="s">
        <v>154</v>
      </c>
      <c r="G43" s="1033"/>
      <c r="H43" s="1033"/>
    </row>
    <row r="44" spans="1:8" ht="20.100000000000001" customHeight="1">
      <c r="A44" s="67" t="s">
        <v>155</v>
      </c>
      <c r="B44" s="68" t="s">
        <v>156</v>
      </c>
      <c r="C44" s="69">
        <f>C18-C43</f>
        <v>1784.8202739726028</v>
      </c>
      <c r="D44" s="70" t="s">
        <v>107</v>
      </c>
      <c r="E44" s="71" t="s">
        <v>81</v>
      </c>
      <c r="F44" s="1033" t="s">
        <v>157</v>
      </c>
      <c r="G44" s="1033"/>
      <c r="H44" s="1033"/>
    </row>
    <row r="45" spans="1:8" ht="20.100000000000001" customHeight="1">
      <c r="A45" s="67" t="s">
        <v>158</v>
      </c>
      <c r="B45" s="68" t="s">
        <v>159</v>
      </c>
      <c r="C45" s="69">
        <f>C44/C19</f>
        <v>148.73502283105023</v>
      </c>
      <c r="D45" s="70" t="s">
        <v>160</v>
      </c>
      <c r="E45" s="71" t="s">
        <v>81</v>
      </c>
      <c r="F45" s="1033" t="s">
        <v>161</v>
      </c>
      <c r="G45" s="1033"/>
      <c r="H45" s="1033"/>
    </row>
    <row r="46" spans="1:8" ht="20.100000000000001" customHeight="1"/>
    <row r="47" spans="1:8" ht="20.100000000000001" customHeight="1"/>
    <row r="48" spans="1: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sheetData>
  <mergeCells count="5">
    <mergeCell ref="E4:H4"/>
    <mergeCell ref="F43:H43"/>
    <mergeCell ref="F44:H44"/>
    <mergeCell ref="F45:H45"/>
    <mergeCell ref="A1:D2"/>
  </mergeCells>
  <printOptions horizontalCentered="1"/>
  <pageMargins left="0.51181102362204722" right="0.51181102362204722" top="0.78740157480314965" bottom="0.78740157480314965" header="0.31496062992125984" footer="0.31496062992125984"/>
  <pageSetup paperSize="9" scale="96" fitToWidth="0" orientation="portrait" r:id="rId1"/>
  <headerFooter>
    <oddFooter>&amp;L&amp;F&amp;C&amp;A&amp;R&amp;P/&amp;N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K72"/>
  <sheetViews>
    <sheetView workbookViewId="0">
      <selection activeCell="E40" sqref="E40"/>
    </sheetView>
  </sheetViews>
  <sheetFormatPr defaultRowHeight="14.25"/>
  <cols>
    <col min="1" max="1" width="9.125" style="259" bestFit="1" customWidth="1"/>
    <col min="2" max="2" width="49.875" style="259" bestFit="1" customWidth="1"/>
    <col min="3" max="3" width="10.625" style="259" bestFit="1" customWidth="1"/>
    <col min="4" max="4" width="10.625" style="259" customWidth="1"/>
    <col min="5" max="5" width="12.625" style="259" customWidth="1"/>
    <col min="6" max="6" width="11.125" style="259" customWidth="1"/>
    <col min="7" max="7" width="12.375" style="259" bestFit="1" customWidth="1"/>
    <col min="8" max="8" width="9.75" style="259" bestFit="1" customWidth="1"/>
    <col min="9" max="12" width="11.125" style="259" customWidth="1"/>
    <col min="13" max="16384" width="9" style="259"/>
  </cols>
  <sheetData>
    <row r="1" spans="1:10" s="256" customFormat="1" ht="39.950000000000003" customHeight="1">
      <c r="A1" s="1042" t="s">
        <v>265</v>
      </c>
      <c r="B1" s="1042"/>
      <c r="C1" s="1042"/>
      <c r="D1" s="1042"/>
      <c r="E1" s="1042"/>
      <c r="F1" s="1042"/>
      <c r="G1" s="1042"/>
      <c r="H1" s="1042"/>
    </row>
    <row r="2" spans="1:10" ht="15.6" customHeight="1">
      <c r="A2" s="260"/>
      <c r="B2" s="261"/>
      <c r="C2" s="262"/>
      <c r="D2" s="262"/>
      <c r="E2" s="262"/>
      <c r="G2" s="258" t="s">
        <v>210</v>
      </c>
    </row>
    <row r="3" spans="1:10" ht="9.9499999999999993" customHeight="1">
      <c r="F3" s="263"/>
      <c r="G3" s="264"/>
    </row>
    <row r="4" spans="1:10" ht="15" customHeight="1">
      <c r="A4" s="977" t="s">
        <v>285</v>
      </c>
      <c r="B4" s="1044" t="s">
        <v>211</v>
      </c>
      <c r="C4" s="1045" t="s">
        <v>212</v>
      </c>
      <c r="D4" s="1046"/>
      <c r="E4" s="265" t="s">
        <v>213</v>
      </c>
      <c r="F4" s="1047" t="s">
        <v>214</v>
      </c>
      <c r="G4" s="1047" t="s">
        <v>215</v>
      </c>
      <c r="H4" s="1037" t="s">
        <v>216</v>
      </c>
    </row>
    <row r="5" spans="1:10" ht="15" customHeight="1">
      <c r="A5" s="977"/>
      <c r="B5" s="1044"/>
      <c r="C5" s="266" t="s">
        <v>217</v>
      </c>
      <c r="D5" s="267" t="s">
        <v>218</v>
      </c>
      <c r="E5" s="268" t="s">
        <v>219</v>
      </c>
      <c r="F5" s="1047"/>
      <c r="G5" s="1048"/>
      <c r="H5" s="1037"/>
    </row>
    <row r="6" spans="1:10" ht="20.100000000000001" customHeight="1">
      <c r="A6" s="269">
        <v>1</v>
      </c>
      <c r="B6" s="270" t="s">
        <v>220</v>
      </c>
      <c r="C6" s="271"/>
      <c r="D6" s="272"/>
      <c r="E6" s="272"/>
      <c r="F6" s="271"/>
      <c r="G6" s="273">
        <f>SUM(G7:G11)</f>
        <v>332956.00522484112</v>
      </c>
      <c r="H6" s="274">
        <f>SUM(H7:H11)</f>
        <v>0.63512492200229975</v>
      </c>
    </row>
    <row r="7" spans="1:10" ht="20.100000000000001" customHeight="1">
      <c r="A7" s="275" t="s">
        <v>221</v>
      </c>
      <c r="B7" s="276" t="s">
        <v>255</v>
      </c>
      <c r="C7" s="277">
        <v>18408.34</v>
      </c>
      <c r="D7" s="278">
        <f>C7/'Dias trabalhados'!$C$15</f>
        <v>110.86244830770467</v>
      </c>
      <c r="E7" s="279">
        <v>160</v>
      </c>
      <c r="F7" s="278">
        <f>D7*E7</f>
        <v>17737.991729232748</v>
      </c>
      <c r="G7" s="278">
        <f>F7*$H$57</f>
        <v>44788.565228249216</v>
      </c>
      <c r="H7" s="280">
        <f>G7/$G$43</f>
        <v>8.5435713880508732E-2</v>
      </c>
    </row>
    <row r="8" spans="1:10" ht="20.100000000000001" customHeight="1">
      <c r="A8" s="275" t="s">
        <v>221</v>
      </c>
      <c r="B8" s="276" t="s">
        <v>262</v>
      </c>
      <c r="C8" s="277">
        <v>14505.08</v>
      </c>
      <c r="D8" s="278">
        <f>C8/'Dias trabalhados'!$C$15</f>
        <v>87.355442245151977</v>
      </c>
      <c r="E8" s="279">
        <v>320</v>
      </c>
      <c r="F8" s="278">
        <f>D8*E8</f>
        <v>27953.741518448631</v>
      </c>
      <c r="G8" s="278">
        <f>F8*$H$57</f>
        <v>70583.411836262603</v>
      </c>
      <c r="H8" s="280">
        <f>G8/$G$43</f>
        <v>0.13464026247819083</v>
      </c>
      <c r="J8" s="281"/>
    </row>
    <row r="9" spans="1:10" ht="20.100000000000001" customHeight="1">
      <c r="A9" s="275" t="s">
        <v>221</v>
      </c>
      <c r="B9" s="276" t="s">
        <v>263</v>
      </c>
      <c r="C9" s="277">
        <v>11347.68</v>
      </c>
      <c r="D9" s="278">
        <f>C9/'Dias trabalhados'!$C$15</f>
        <v>68.340305938089699</v>
      </c>
      <c r="E9" s="279">
        <v>600</v>
      </c>
      <c r="F9" s="278">
        <f>D9*E9</f>
        <v>41004.183562853817</v>
      </c>
      <c r="G9" s="278">
        <f>F9*$H$57</f>
        <v>103535.87814055321</v>
      </c>
      <c r="H9" s="280">
        <f>G9/$G$43</f>
        <v>0.1974982144684633</v>
      </c>
    </row>
    <row r="10" spans="1:10" ht="20.100000000000001" customHeight="1">
      <c r="A10" s="275" t="s">
        <v>221</v>
      </c>
      <c r="B10" s="276" t="s">
        <v>264</v>
      </c>
      <c r="C10" s="277">
        <v>9335.82</v>
      </c>
      <c r="D10" s="278">
        <f>C10/'Dias trabalhados'!$C$15</f>
        <v>56.224073553619469</v>
      </c>
      <c r="E10" s="279">
        <v>600</v>
      </c>
      <c r="F10" s="278">
        <f>D10*E10</f>
        <v>33734.44413217168</v>
      </c>
      <c r="G10" s="278">
        <f>F10*$H$57</f>
        <v>85179.730293957837</v>
      </c>
      <c r="H10" s="280">
        <f>G10/$G$43</f>
        <v>0.16248323715499285</v>
      </c>
    </row>
    <row r="11" spans="1:10" ht="20.100000000000001" customHeight="1">
      <c r="A11" s="275" t="s">
        <v>221</v>
      </c>
      <c r="B11" s="276" t="s">
        <v>256</v>
      </c>
      <c r="C11" s="277">
        <v>3164.02</v>
      </c>
      <c r="D11" s="278">
        <f>C11/'Dias trabalhados'!$C$15</f>
        <v>19.055004617175896</v>
      </c>
      <c r="E11" s="279">
        <v>600</v>
      </c>
      <c r="F11" s="278">
        <f>D11*E11</f>
        <v>11433.002770305538</v>
      </c>
      <c r="G11" s="278">
        <f>F11*$H$57</f>
        <v>28868.419725818247</v>
      </c>
      <c r="H11" s="280">
        <f>G11/$G$43</f>
        <v>5.5067494020143971E-2</v>
      </c>
    </row>
    <row r="12" spans="1:10" ht="6" customHeight="1">
      <c r="A12" s="275"/>
      <c r="B12" s="282"/>
      <c r="C12" s="277"/>
      <c r="D12" s="275"/>
      <c r="E12" s="277"/>
      <c r="F12" s="278"/>
      <c r="G12" s="283"/>
      <c r="H12" s="284"/>
      <c r="I12" s="285"/>
    </row>
    <row r="13" spans="1:10" ht="15" customHeight="1">
      <c r="A13" s="977" t="s">
        <v>285</v>
      </c>
      <c r="B13" s="1044" t="s">
        <v>211</v>
      </c>
      <c r="C13" s="1037" t="s">
        <v>212</v>
      </c>
      <c r="D13" s="1037"/>
      <c r="E13" s="286" t="s">
        <v>213</v>
      </c>
      <c r="F13" s="1038" t="s">
        <v>214</v>
      </c>
      <c r="G13" s="1038" t="s">
        <v>222</v>
      </c>
      <c r="H13" s="1037" t="s">
        <v>216</v>
      </c>
    </row>
    <row r="14" spans="1:10" ht="15" customHeight="1">
      <c r="A14" s="977"/>
      <c r="B14" s="1044"/>
      <c r="C14" s="286" t="s">
        <v>217</v>
      </c>
      <c r="D14" s="287" t="s">
        <v>218</v>
      </c>
      <c r="E14" s="286" t="s">
        <v>219</v>
      </c>
      <c r="F14" s="1038"/>
      <c r="G14" s="1039"/>
      <c r="H14" s="1037"/>
    </row>
    <row r="15" spans="1:10" ht="20.100000000000001" customHeight="1">
      <c r="A15" s="269">
        <v>2</v>
      </c>
      <c r="B15" s="270" t="s">
        <v>223</v>
      </c>
      <c r="C15" s="271"/>
      <c r="D15" s="272"/>
      <c r="E15" s="272"/>
      <c r="F15" s="271"/>
      <c r="G15" s="273">
        <f>SUM(G16:G20)</f>
        <v>88856.377880775981</v>
      </c>
      <c r="H15" s="274">
        <f>SUM(H16:H20)</f>
        <v>0.16949656767062937</v>
      </c>
    </row>
    <row r="16" spans="1:10" ht="20.100000000000001" customHeight="1">
      <c r="A16" s="275" t="s">
        <v>221</v>
      </c>
      <c r="B16" s="276" t="s">
        <v>257</v>
      </c>
      <c r="C16" s="277">
        <v>21182.87</v>
      </c>
      <c r="D16" s="278">
        <f>C16/'Dias trabalhados'!$C$15</f>
        <v>127.57178704781789</v>
      </c>
      <c r="E16" s="288">
        <v>80</v>
      </c>
      <c r="F16" s="278">
        <f>D16*E16</f>
        <v>10205.742963825431</v>
      </c>
      <c r="G16" s="278">
        <f>F16*$H$58</f>
        <v>17771.275576155196</v>
      </c>
      <c r="H16" s="280">
        <f>G16/$G$43</f>
        <v>3.3899313534125876E-2</v>
      </c>
    </row>
    <row r="17" spans="1:10" ht="20.100000000000001" customHeight="1">
      <c r="A17" s="275" t="s">
        <v>221</v>
      </c>
      <c r="B17" s="276" t="s">
        <v>258</v>
      </c>
      <c r="C17" s="277">
        <v>21182.87</v>
      </c>
      <c r="D17" s="278">
        <f>C17/'Dias trabalhados'!$C$15</f>
        <v>127.57178704781789</v>
      </c>
      <c r="E17" s="288">
        <v>80</v>
      </c>
      <c r="F17" s="278">
        <f>D17*E17</f>
        <v>10205.742963825431</v>
      </c>
      <c r="G17" s="278">
        <f>F17*$H$58</f>
        <v>17771.275576155196</v>
      </c>
      <c r="H17" s="280">
        <f>G17/$G$43</f>
        <v>3.3899313534125876E-2</v>
      </c>
    </row>
    <row r="18" spans="1:10" ht="20.100000000000001" customHeight="1">
      <c r="A18" s="275" t="s">
        <v>221</v>
      </c>
      <c r="B18" s="276" t="s">
        <v>259</v>
      </c>
      <c r="C18" s="277">
        <v>21182.87</v>
      </c>
      <c r="D18" s="278">
        <f>C18/'Dias trabalhados'!$C$15</f>
        <v>127.57178704781789</v>
      </c>
      <c r="E18" s="288">
        <v>80</v>
      </c>
      <c r="F18" s="278">
        <f>D18*E18</f>
        <v>10205.742963825431</v>
      </c>
      <c r="G18" s="278">
        <f>F18*$H$58</f>
        <v>17771.275576155196</v>
      </c>
      <c r="H18" s="280">
        <f>G18/$G$43</f>
        <v>3.3899313534125876E-2</v>
      </c>
      <c r="J18" s="281"/>
    </row>
    <row r="19" spans="1:10" ht="20.100000000000001" customHeight="1">
      <c r="A19" s="275" t="s">
        <v>221</v>
      </c>
      <c r="B19" s="276" t="s">
        <v>260</v>
      </c>
      <c r="C19" s="277">
        <v>21182.87</v>
      </c>
      <c r="D19" s="278">
        <f>C19/'Dias trabalhados'!$C$15</f>
        <v>127.57178704781789</v>
      </c>
      <c r="E19" s="288">
        <v>80</v>
      </c>
      <c r="F19" s="278">
        <f>D19*E19</f>
        <v>10205.742963825431</v>
      </c>
      <c r="G19" s="278">
        <f>F19*$H$58</f>
        <v>17771.275576155196</v>
      </c>
      <c r="H19" s="280">
        <f>G19/$G$43</f>
        <v>3.3899313534125876E-2</v>
      </c>
      <c r="J19" s="281"/>
    </row>
    <row r="20" spans="1:10" ht="20.100000000000001" customHeight="1">
      <c r="A20" s="275" t="s">
        <v>221</v>
      </c>
      <c r="B20" s="276" t="s">
        <v>261</v>
      </c>
      <c r="C20" s="277">
        <v>21182.87</v>
      </c>
      <c r="D20" s="278">
        <f>C20/'Dias trabalhados'!$C$15</f>
        <v>127.57178704781789</v>
      </c>
      <c r="E20" s="288">
        <v>80</v>
      </c>
      <c r="F20" s="278">
        <f>D20*E20</f>
        <v>10205.742963825431</v>
      </c>
      <c r="G20" s="278">
        <f>F20*$H$58</f>
        <v>17771.275576155196</v>
      </c>
      <c r="H20" s="280">
        <f>G20/$G$43</f>
        <v>3.3899313534125876E-2</v>
      </c>
      <c r="J20" s="281"/>
    </row>
    <row r="21" spans="1:10" ht="6" customHeight="1">
      <c r="A21" s="289"/>
      <c r="B21" s="290"/>
      <c r="C21" s="277"/>
      <c r="D21" s="291"/>
      <c r="E21" s="288"/>
      <c r="F21" s="277"/>
      <c r="G21" s="277"/>
      <c r="H21" s="292"/>
    </row>
    <row r="22" spans="1:10" ht="15" customHeight="1">
      <c r="A22" s="977" t="s">
        <v>285</v>
      </c>
      <c r="B22" s="1041" t="s">
        <v>211</v>
      </c>
      <c r="C22" s="1039" t="s">
        <v>224</v>
      </c>
      <c r="D22" s="293" t="s">
        <v>170</v>
      </c>
      <c r="E22" s="294" t="s">
        <v>169</v>
      </c>
      <c r="F22" s="293" t="s">
        <v>225</v>
      </c>
      <c r="G22" s="1038" t="s">
        <v>226</v>
      </c>
      <c r="H22" s="1040" t="s">
        <v>216</v>
      </c>
    </row>
    <row r="23" spans="1:10" ht="15" customHeight="1">
      <c r="A23" s="977"/>
      <c r="B23" s="1041"/>
      <c r="C23" s="1039"/>
      <c r="D23" s="295" t="s">
        <v>63</v>
      </c>
      <c r="E23" s="295" t="s">
        <v>173</v>
      </c>
      <c r="F23" s="296" t="s">
        <v>173</v>
      </c>
      <c r="G23" s="1039"/>
      <c r="H23" s="1040"/>
    </row>
    <row r="24" spans="1:10" ht="20.100000000000001" customHeight="1">
      <c r="A24" s="269">
        <v>3</v>
      </c>
      <c r="B24" s="270" t="s">
        <v>266</v>
      </c>
      <c r="C24" s="271"/>
      <c r="D24" s="272"/>
      <c r="E24" s="272"/>
      <c r="F24" s="271"/>
      <c r="G24" s="273">
        <f>SUM(G25:G31)</f>
        <v>88783.673469387752</v>
      </c>
      <c r="H24" s="274">
        <f>SUM(H25:H31)</f>
        <v>0.16935788152925463</v>
      </c>
    </row>
    <row r="25" spans="1:10" ht="20.100000000000001" customHeight="1">
      <c r="A25" s="275"/>
      <c r="B25" s="297" t="s">
        <v>275</v>
      </c>
      <c r="C25" s="278" t="s">
        <v>273</v>
      </c>
      <c r="D25" s="278">
        <v>10</v>
      </c>
      <c r="E25" s="277">
        <v>1000</v>
      </c>
      <c r="F25" s="278">
        <f t="shared" ref="F25:F31" si="0">D25*E25</f>
        <v>10000</v>
      </c>
      <c r="G25" s="278">
        <f t="shared" ref="G25:G31" si="1">F25*$H$60</f>
        <v>12683.381924198249</v>
      </c>
      <c r="H25" s="280">
        <f t="shared" ref="H25:H31" si="2">G25/$G$43</f>
        <v>2.4193983075607807E-2</v>
      </c>
    </row>
    <row r="26" spans="1:10" ht="20.100000000000001" customHeight="1">
      <c r="A26" s="275"/>
      <c r="B26" s="297" t="s">
        <v>267</v>
      </c>
      <c r="C26" s="277" t="s">
        <v>274</v>
      </c>
      <c r="D26" s="278">
        <v>10</v>
      </c>
      <c r="E26" s="277">
        <v>1000</v>
      </c>
      <c r="F26" s="278">
        <f t="shared" si="0"/>
        <v>10000</v>
      </c>
      <c r="G26" s="278">
        <f t="shared" si="1"/>
        <v>12683.381924198249</v>
      </c>
      <c r="H26" s="280">
        <f t="shared" si="2"/>
        <v>2.4193983075607807E-2</v>
      </c>
    </row>
    <row r="27" spans="1:10" ht="20.100000000000001" customHeight="1">
      <c r="A27" s="275"/>
      <c r="B27" s="297" t="s">
        <v>268</v>
      </c>
      <c r="C27" s="277" t="s">
        <v>274</v>
      </c>
      <c r="D27" s="278">
        <v>10</v>
      </c>
      <c r="E27" s="277">
        <v>1000</v>
      </c>
      <c r="F27" s="278">
        <f t="shared" si="0"/>
        <v>10000</v>
      </c>
      <c r="G27" s="278">
        <f t="shared" si="1"/>
        <v>12683.381924198249</v>
      </c>
      <c r="H27" s="280">
        <f t="shared" si="2"/>
        <v>2.4193983075607807E-2</v>
      </c>
    </row>
    <row r="28" spans="1:10" ht="20.100000000000001" customHeight="1">
      <c r="A28" s="275"/>
      <c r="B28" s="297" t="s">
        <v>269</v>
      </c>
      <c r="C28" s="278" t="s">
        <v>63</v>
      </c>
      <c r="D28" s="278">
        <v>10</v>
      </c>
      <c r="E28" s="277">
        <v>1000</v>
      </c>
      <c r="F28" s="278">
        <f t="shared" si="0"/>
        <v>10000</v>
      </c>
      <c r="G28" s="278">
        <f t="shared" si="1"/>
        <v>12683.381924198249</v>
      </c>
      <c r="H28" s="280">
        <f t="shared" si="2"/>
        <v>2.4193983075607807E-2</v>
      </c>
    </row>
    <row r="29" spans="1:10" ht="20.100000000000001" customHeight="1">
      <c r="A29" s="275"/>
      <c r="B29" s="297" t="s">
        <v>270</v>
      </c>
      <c r="C29" s="278" t="s">
        <v>63</v>
      </c>
      <c r="D29" s="278">
        <v>10</v>
      </c>
      <c r="E29" s="277">
        <v>1000</v>
      </c>
      <c r="F29" s="278">
        <f t="shared" si="0"/>
        <v>10000</v>
      </c>
      <c r="G29" s="278">
        <f t="shared" si="1"/>
        <v>12683.381924198249</v>
      </c>
      <c r="H29" s="280">
        <f t="shared" si="2"/>
        <v>2.4193983075607807E-2</v>
      </c>
    </row>
    <row r="30" spans="1:10" ht="20.100000000000001" customHeight="1">
      <c r="A30" s="275"/>
      <c r="B30" s="297" t="s">
        <v>271</v>
      </c>
      <c r="C30" s="278" t="s">
        <v>63</v>
      </c>
      <c r="D30" s="278">
        <v>10</v>
      </c>
      <c r="E30" s="277">
        <v>1000</v>
      </c>
      <c r="F30" s="278">
        <f t="shared" si="0"/>
        <v>10000</v>
      </c>
      <c r="G30" s="278">
        <f t="shared" si="1"/>
        <v>12683.381924198249</v>
      </c>
      <c r="H30" s="280">
        <f t="shared" si="2"/>
        <v>2.4193983075607807E-2</v>
      </c>
    </row>
    <row r="31" spans="1:10" ht="20.100000000000001" customHeight="1">
      <c r="A31" s="275"/>
      <c r="B31" s="297" t="s">
        <v>272</v>
      </c>
      <c r="C31" s="278" t="s">
        <v>63</v>
      </c>
      <c r="D31" s="278">
        <v>10</v>
      </c>
      <c r="E31" s="277">
        <v>1000</v>
      </c>
      <c r="F31" s="278">
        <f t="shared" si="0"/>
        <v>10000</v>
      </c>
      <c r="G31" s="278">
        <f t="shared" si="1"/>
        <v>12683.381924198249</v>
      </c>
      <c r="H31" s="280">
        <f t="shared" si="2"/>
        <v>2.4193983075607807E-2</v>
      </c>
    </row>
    <row r="32" spans="1:10" ht="6" customHeight="1">
      <c r="A32" s="289"/>
      <c r="B32" s="290"/>
      <c r="C32" s="277"/>
      <c r="D32" s="298"/>
      <c r="E32" s="299"/>
      <c r="F32" s="300"/>
      <c r="G32" s="277"/>
      <c r="H32" s="292"/>
    </row>
    <row r="33" spans="1:8" ht="15" customHeight="1">
      <c r="A33" s="977" t="s">
        <v>285</v>
      </c>
      <c r="B33" s="1041" t="s">
        <v>211</v>
      </c>
      <c r="C33" s="1039" t="s">
        <v>224</v>
      </c>
      <c r="D33" s="293" t="s">
        <v>170</v>
      </c>
      <c r="E33" s="294" t="s">
        <v>169</v>
      </c>
      <c r="F33" s="293" t="s">
        <v>225</v>
      </c>
      <c r="G33" s="1038" t="s">
        <v>226</v>
      </c>
      <c r="H33" s="1040" t="s">
        <v>216</v>
      </c>
    </row>
    <row r="34" spans="1:8" ht="15" customHeight="1">
      <c r="A34" s="977"/>
      <c r="B34" s="1041"/>
      <c r="C34" s="1039"/>
      <c r="D34" s="295" t="s">
        <v>63</v>
      </c>
      <c r="E34" s="295" t="s">
        <v>173</v>
      </c>
      <c r="F34" s="296" t="s">
        <v>173</v>
      </c>
      <c r="G34" s="1039"/>
      <c r="H34" s="1040"/>
    </row>
    <row r="35" spans="1:8" ht="20.100000000000001" customHeight="1">
      <c r="A35" s="269">
        <v>4</v>
      </c>
      <c r="B35" s="270" t="s">
        <v>227</v>
      </c>
      <c r="C35" s="271"/>
      <c r="D35" s="272"/>
      <c r="E35" s="272"/>
      <c r="F35" s="271"/>
      <c r="G35" s="273">
        <f>SUM(G36:G42)</f>
        <v>13640.977259475219</v>
      </c>
      <c r="H35" s="274">
        <f>SUM(H36:H42)</f>
        <v>2.6020628797816199E-2</v>
      </c>
    </row>
    <row r="36" spans="1:8" ht="20.100000000000001" customHeight="1">
      <c r="A36" s="275"/>
      <c r="B36" s="297" t="s">
        <v>276</v>
      </c>
      <c r="C36" s="278" t="s">
        <v>277</v>
      </c>
      <c r="D36" s="288">
        <v>1</v>
      </c>
      <c r="E36" s="301">
        <v>3345</v>
      </c>
      <c r="F36" s="301">
        <f t="shared" ref="F36:F42" si="3">D36*E36</f>
        <v>3345</v>
      </c>
      <c r="G36" s="301">
        <f t="shared" ref="G36:G42" si="4">F36*$H$60</f>
        <v>4242.5912536443147</v>
      </c>
      <c r="H36" s="280">
        <f>G36/$G$43</f>
        <v>8.0928873387908131E-3</v>
      </c>
    </row>
    <row r="37" spans="1:8" ht="20.100000000000001" customHeight="1">
      <c r="A37" s="275"/>
      <c r="B37" s="297" t="s">
        <v>278</v>
      </c>
      <c r="C37" s="278" t="s">
        <v>284</v>
      </c>
      <c r="D37" s="288">
        <v>5</v>
      </c>
      <c r="E37" s="301">
        <v>10</v>
      </c>
      <c r="F37" s="301">
        <f t="shared" si="3"/>
        <v>50</v>
      </c>
      <c r="G37" s="301">
        <f t="shared" si="4"/>
        <v>63.416909620991248</v>
      </c>
      <c r="H37" s="280">
        <f t="shared" ref="H37:H42" si="5">G37/$G$43</f>
        <v>1.2096991537803905E-4</v>
      </c>
    </row>
    <row r="38" spans="1:8" ht="20.100000000000001" customHeight="1">
      <c r="A38" s="275"/>
      <c r="B38" s="297" t="s">
        <v>279</v>
      </c>
      <c r="C38" s="278" t="s">
        <v>63</v>
      </c>
      <c r="D38" s="288">
        <v>100</v>
      </c>
      <c r="E38" s="301">
        <v>0.25</v>
      </c>
      <c r="F38" s="301">
        <f t="shared" si="3"/>
        <v>25</v>
      </c>
      <c r="G38" s="301">
        <f t="shared" si="4"/>
        <v>31.708454810495624</v>
      </c>
      <c r="H38" s="280">
        <f t="shared" si="5"/>
        <v>6.0484957689019524E-5</v>
      </c>
    </row>
    <row r="39" spans="1:8" ht="20.100000000000001" customHeight="1">
      <c r="A39" s="275"/>
      <c r="B39" s="297" t="s">
        <v>281</v>
      </c>
      <c r="C39" s="278" t="s">
        <v>63</v>
      </c>
      <c r="D39" s="288">
        <v>1</v>
      </c>
      <c r="E39" s="301">
        <v>15</v>
      </c>
      <c r="F39" s="301">
        <f t="shared" si="3"/>
        <v>15</v>
      </c>
      <c r="G39" s="301">
        <f t="shared" si="4"/>
        <v>19.025072886297373</v>
      </c>
      <c r="H39" s="280">
        <f t="shared" si="5"/>
        <v>3.629097461341171E-5</v>
      </c>
    </row>
    <row r="40" spans="1:8" ht="20.100000000000001" customHeight="1">
      <c r="A40" s="275"/>
      <c r="B40" s="297" t="s">
        <v>280</v>
      </c>
      <c r="C40" s="278" t="s">
        <v>63</v>
      </c>
      <c r="D40" s="288">
        <f>(5*3*2)+(1*1*2)</f>
        <v>32</v>
      </c>
      <c r="E40" s="301">
        <v>150</v>
      </c>
      <c r="F40" s="301">
        <f t="shared" si="3"/>
        <v>4800</v>
      </c>
      <c r="G40" s="301">
        <f t="shared" si="4"/>
        <v>6088.0233236151598</v>
      </c>
      <c r="H40" s="280">
        <f t="shared" si="5"/>
        <v>1.1613111876291748E-2</v>
      </c>
    </row>
    <row r="41" spans="1:8" ht="20.100000000000001" customHeight="1">
      <c r="A41" s="275"/>
      <c r="B41" s="297" t="s">
        <v>282</v>
      </c>
      <c r="C41" s="278" t="s">
        <v>63</v>
      </c>
      <c r="D41" s="288">
        <f>(5*3)+(1*1)</f>
        <v>16</v>
      </c>
      <c r="E41" s="301">
        <v>20</v>
      </c>
      <c r="F41" s="301">
        <f t="shared" si="3"/>
        <v>320</v>
      </c>
      <c r="G41" s="301">
        <f t="shared" si="4"/>
        <v>405.86822157434398</v>
      </c>
      <c r="H41" s="280">
        <f t="shared" si="5"/>
        <v>7.7420745841944982E-4</v>
      </c>
    </row>
    <row r="42" spans="1:8" ht="20.100000000000001" customHeight="1">
      <c r="A42" s="275"/>
      <c r="B42" s="297" t="s">
        <v>283</v>
      </c>
      <c r="C42" s="278" t="s">
        <v>63</v>
      </c>
      <c r="D42" s="288">
        <v>10</v>
      </c>
      <c r="E42" s="301">
        <v>220</v>
      </c>
      <c r="F42" s="301">
        <f t="shared" si="3"/>
        <v>2200</v>
      </c>
      <c r="G42" s="301">
        <f t="shared" si="4"/>
        <v>2790.3440233236147</v>
      </c>
      <c r="H42" s="280">
        <f t="shared" si="5"/>
        <v>5.3226762766337178E-3</v>
      </c>
    </row>
    <row r="43" spans="1:8" ht="20.100000000000001" customHeight="1">
      <c r="A43" s="302"/>
      <c r="B43" s="303" t="s">
        <v>228</v>
      </c>
      <c r="C43" s="303"/>
      <c r="D43" s="303"/>
      <c r="E43" s="304"/>
      <c r="F43" s="305"/>
      <c r="G43" s="306">
        <f>G6+G15+G24+G35</f>
        <v>524237.0338344801</v>
      </c>
      <c r="H43" s="307">
        <f>H6+H15+H24+H35</f>
        <v>1</v>
      </c>
    </row>
    <row r="44" spans="1:8" ht="6" customHeight="1">
      <c r="A44" s="308"/>
      <c r="B44" s="308"/>
      <c r="C44" s="308"/>
      <c r="D44" s="308"/>
      <c r="E44" s="308"/>
      <c r="F44" s="308"/>
      <c r="G44" s="308"/>
      <c r="H44" s="308"/>
    </row>
    <row r="45" spans="1:8" ht="20.100000000000001" customHeight="1">
      <c r="A45" s="1043" t="s">
        <v>229</v>
      </c>
      <c r="B45" s="1043"/>
      <c r="C45" s="309"/>
      <c r="D45" s="309"/>
      <c r="E45" s="309"/>
      <c r="F45" s="309"/>
      <c r="G45" s="309"/>
      <c r="H45" s="309"/>
    </row>
    <row r="46" spans="1:8" ht="3" customHeight="1">
      <c r="A46" s="310"/>
      <c r="B46" s="311"/>
      <c r="C46" s="310"/>
      <c r="D46" s="312"/>
      <c r="E46" s="313"/>
      <c r="F46" s="314"/>
      <c r="G46" s="277"/>
      <c r="H46" s="277"/>
    </row>
    <row r="47" spans="1:8" ht="15">
      <c r="A47" s="315"/>
      <c r="B47" s="315" t="s">
        <v>230</v>
      </c>
      <c r="C47" s="316"/>
      <c r="D47" s="317"/>
      <c r="E47" s="318"/>
      <c r="F47" s="319"/>
      <c r="G47" s="320"/>
      <c r="H47" s="321">
        <v>0.81789999999999996</v>
      </c>
    </row>
    <row r="48" spans="1:8" ht="15">
      <c r="A48" s="315"/>
      <c r="B48" s="315" t="s">
        <v>231</v>
      </c>
      <c r="C48" s="316"/>
      <c r="D48" s="317"/>
      <c r="E48" s="318"/>
      <c r="F48" s="319"/>
      <c r="G48" s="320"/>
      <c r="H48" s="321">
        <v>0.2</v>
      </c>
    </row>
    <row r="49" spans="1:8" ht="15">
      <c r="A49" s="322"/>
      <c r="B49" s="322" t="s">
        <v>232</v>
      </c>
      <c r="C49" s="322"/>
      <c r="D49" s="317"/>
      <c r="E49" s="318"/>
      <c r="F49" s="319"/>
      <c r="G49" s="320"/>
      <c r="H49" s="321">
        <v>0.1729</v>
      </c>
    </row>
    <row r="50" spans="1:8" ht="15">
      <c r="A50" s="322"/>
      <c r="B50" s="322" t="s">
        <v>233</v>
      </c>
      <c r="C50" s="322"/>
      <c r="D50" s="317"/>
      <c r="E50" s="318"/>
      <c r="F50" s="319"/>
      <c r="G50" s="320"/>
      <c r="H50" s="321">
        <v>8.7599999999999997E-2</v>
      </c>
    </row>
    <row r="51" spans="1:8" ht="15">
      <c r="A51" s="322"/>
      <c r="B51" s="322" t="s">
        <v>234</v>
      </c>
      <c r="C51" s="322"/>
      <c r="D51" s="317"/>
      <c r="E51" s="318"/>
      <c r="F51" s="319"/>
      <c r="G51" s="320"/>
      <c r="H51" s="321">
        <f>(1/(1-(C53+C54+C55)))-1</f>
        <v>0.16618075801749277</v>
      </c>
    </row>
    <row r="52" spans="1:8" ht="15">
      <c r="A52" s="323"/>
      <c r="B52" s="323" t="s">
        <v>235</v>
      </c>
      <c r="C52" s="315"/>
      <c r="D52" s="317"/>
      <c r="E52" s="318"/>
      <c r="F52" s="319"/>
      <c r="G52" s="320"/>
      <c r="H52" s="321"/>
    </row>
    <row r="53" spans="1:8" ht="15">
      <c r="A53" s="315"/>
      <c r="B53" s="315" t="s">
        <v>236</v>
      </c>
      <c r="C53" s="324">
        <v>1.6500000000000001E-2</v>
      </c>
      <c r="D53" s="317"/>
      <c r="E53" s="318"/>
      <c r="F53" s="319"/>
      <c r="G53" s="320"/>
      <c r="H53" s="325"/>
    </row>
    <row r="54" spans="1:8" ht="15">
      <c r="A54" s="315"/>
      <c r="B54" s="315" t="s">
        <v>237</v>
      </c>
      <c r="C54" s="324">
        <v>7.5999999999999998E-2</v>
      </c>
      <c r="D54" s="317"/>
      <c r="E54" s="318"/>
      <c r="F54" s="319"/>
      <c r="G54" s="320"/>
      <c r="H54" s="325"/>
    </row>
    <row r="55" spans="1:8" ht="15">
      <c r="A55" s="315"/>
      <c r="B55" s="315" t="s">
        <v>238</v>
      </c>
      <c r="C55" s="324">
        <v>0.05</v>
      </c>
      <c r="D55" s="317"/>
      <c r="E55" s="318"/>
      <c r="F55" s="319"/>
      <c r="G55" s="320"/>
      <c r="H55" s="325"/>
    </row>
    <row r="56" spans="1:8" ht="3" customHeight="1">
      <c r="A56" s="310"/>
      <c r="B56" s="326"/>
      <c r="C56" s="327"/>
      <c r="D56" s="328"/>
      <c r="E56" s="313"/>
      <c r="F56" s="326"/>
      <c r="G56" s="277"/>
      <c r="H56" s="312"/>
    </row>
    <row r="57" spans="1:8" ht="15">
      <c r="A57" s="329" t="s">
        <v>239</v>
      </c>
      <c r="B57" s="330" t="str">
        <f>B6</f>
        <v>EQUIPE TÉCNICA PERMANENTE</v>
      </c>
      <c r="C57" s="1035" t="s">
        <v>240</v>
      </c>
      <c r="D57" s="1035"/>
      <c r="E57" s="1035"/>
      <c r="F57" s="331"/>
      <c r="G57" s="332"/>
      <c r="H57" s="333">
        <f>(1+H47+H49)*(1+H50)*(1+H51)</f>
        <v>2.5250076734693874</v>
      </c>
    </row>
    <row r="58" spans="1:8" ht="15">
      <c r="A58" s="329" t="s">
        <v>241</v>
      </c>
      <c r="B58" s="330" t="str">
        <f>B15</f>
        <v>EQUIPE TÉCNICA DE CONSULTORES</v>
      </c>
      <c r="C58" s="1035" t="s">
        <v>242</v>
      </c>
      <c r="D58" s="1035"/>
      <c r="E58" s="1035"/>
      <c r="F58" s="331"/>
      <c r="G58" s="334"/>
      <c r="H58" s="335">
        <f>(1+H48+H49)*(1+H50)*(1+H51)</f>
        <v>1.7413015043731779</v>
      </c>
    </row>
    <row r="59" spans="1:8" ht="15">
      <c r="A59" s="329" t="s">
        <v>243</v>
      </c>
      <c r="B59" s="330" t="str">
        <f>B24</f>
        <v>SERVIÇOS DE APOIO TÉCNICO</v>
      </c>
      <c r="C59" s="1035" t="s">
        <v>244</v>
      </c>
      <c r="D59" s="1035"/>
      <c r="E59" s="1035"/>
      <c r="F59" s="331"/>
      <c r="G59" s="334"/>
      <c r="H59" s="335">
        <f>(1+H49)*(1+H50)*(1+H51)</f>
        <v>1.487633865889213</v>
      </c>
    </row>
    <row r="60" spans="1:8" ht="15">
      <c r="A60" s="329" t="s">
        <v>245</v>
      </c>
      <c r="B60" s="330" t="str">
        <f>B35</f>
        <v>DESPESAS DIRETAS</v>
      </c>
      <c r="C60" s="1035" t="s">
        <v>246</v>
      </c>
      <c r="D60" s="1035"/>
      <c r="E60" s="1035"/>
      <c r="F60" s="331"/>
      <c r="G60" s="334"/>
      <c r="H60" s="335">
        <f>(1+H50)*(1+H51)</f>
        <v>1.2683381924198249</v>
      </c>
    </row>
    <row r="61" spans="1:8" ht="15" customHeight="1">
      <c r="A61" s="260" t="s">
        <v>247</v>
      </c>
    </row>
    <row r="62" spans="1:8" ht="30" customHeight="1">
      <c r="A62" s="336" t="s">
        <v>248</v>
      </c>
      <c r="B62" s="1036" t="s">
        <v>249</v>
      </c>
      <c r="C62" s="1036"/>
      <c r="D62" s="1036"/>
      <c r="E62" s="1036"/>
      <c r="F62" s="1036"/>
      <c r="G62" s="1036"/>
      <c r="H62" s="337"/>
    </row>
    <row r="63" spans="1:8" ht="30" customHeight="1">
      <c r="A63" s="336" t="s">
        <v>250</v>
      </c>
      <c r="B63" s="1036" t="s">
        <v>251</v>
      </c>
      <c r="C63" s="1036"/>
      <c r="D63" s="1036"/>
      <c r="E63" s="1036"/>
      <c r="F63" s="1036"/>
      <c r="G63" s="1036"/>
      <c r="H63" s="337"/>
    </row>
    <row r="64" spans="1:8" ht="14.25" customHeight="1">
      <c r="A64" s="336" t="s">
        <v>252</v>
      </c>
      <c r="B64" s="1036" t="s">
        <v>253</v>
      </c>
      <c r="C64" s="1036"/>
      <c r="D64" s="1036"/>
      <c r="E64" s="1036"/>
      <c r="F64" s="1036"/>
      <c r="G64" s="1036"/>
      <c r="H64" s="337"/>
    </row>
    <row r="65" spans="1:11" ht="9.9499999999999993" customHeight="1">
      <c r="A65" s="338"/>
      <c r="B65" s="338"/>
      <c r="C65" s="338"/>
      <c r="D65" s="338"/>
      <c r="E65" s="338"/>
      <c r="F65" s="338"/>
      <c r="G65" s="338"/>
      <c r="H65" s="338"/>
      <c r="J65" s="339"/>
      <c r="K65" s="339"/>
    </row>
    <row r="68" spans="1:11">
      <c r="D68" s="340"/>
    </row>
    <row r="69" spans="1:11">
      <c r="A69" s="340"/>
      <c r="B69" s="340"/>
      <c r="D69" s="340"/>
    </row>
    <row r="70" spans="1:11" ht="15">
      <c r="D70" s="257"/>
    </row>
    <row r="71" spans="1:11">
      <c r="D71" s="340"/>
    </row>
    <row r="72" spans="1:11">
      <c r="A72" s="341"/>
      <c r="B72" s="342"/>
      <c r="C72" s="264"/>
      <c r="D72" s="340"/>
      <c r="E72" s="264"/>
      <c r="F72" s="264"/>
      <c r="G72" s="264"/>
      <c r="H72" s="264"/>
      <c r="I72" s="261"/>
    </row>
  </sheetData>
  <mergeCells count="31">
    <mergeCell ref="A1:H1"/>
    <mergeCell ref="A45:B45"/>
    <mergeCell ref="A22:A23"/>
    <mergeCell ref="B22:B23"/>
    <mergeCell ref="C22:C23"/>
    <mergeCell ref="A4:A5"/>
    <mergeCell ref="B4:B5"/>
    <mergeCell ref="C4:D4"/>
    <mergeCell ref="F4:F5"/>
    <mergeCell ref="G4:G5"/>
    <mergeCell ref="H4:H5"/>
    <mergeCell ref="A13:A14"/>
    <mergeCell ref="B13:B14"/>
    <mergeCell ref="C13:D13"/>
    <mergeCell ref="F13:F14"/>
    <mergeCell ref="G13:G14"/>
    <mergeCell ref="H13:H14"/>
    <mergeCell ref="C58:E58"/>
    <mergeCell ref="G22:G23"/>
    <mergeCell ref="H22:H23"/>
    <mergeCell ref="A33:A34"/>
    <mergeCell ref="B33:B34"/>
    <mergeCell ref="C33:C34"/>
    <mergeCell ref="H33:H34"/>
    <mergeCell ref="C57:E57"/>
    <mergeCell ref="G33:G34"/>
    <mergeCell ref="C59:E59"/>
    <mergeCell ref="C60:E60"/>
    <mergeCell ref="B62:G62"/>
    <mergeCell ref="B63:G63"/>
    <mergeCell ref="B64:G64"/>
  </mergeCells>
  <printOptions horizontalCentered="1"/>
  <pageMargins left="0.51181102362204722" right="0.51181102362204722" top="0.78740157480314965" bottom="0.78740157480314965" header="0.31496062992125984" footer="0.31496062992125984"/>
  <pageSetup paperSize="9" scale="66" fitToHeight="0" orientation="portrait" r:id="rId1"/>
  <headerFooter>
    <oddFooter>&amp;L&amp;F&amp;C&amp;A&amp;R&amp;P/&amp;N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44"/>
  <sheetViews>
    <sheetView topLeftCell="A18" zoomScaleNormal="100" workbookViewId="0">
      <selection activeCell="C65" sqref="C65:D65"/>
    </sheetView>
  </sheetViews>
  <sheetFormatPr defaultRowHeight="14.25"/>
  <cols>
    <col min="1" max="1" width="4.625" style="1" customWidth="1"/>
    <col min="2" max="2" width="9" style="779"/>
    <col min="3" max="3" width="60.125" style="1" customWidth="1"/>
    <col min="4" max="4" width="4.75" style="1" customWidth="1"/>
    <col min="5" max="5" width="3.75" style="1" customWidth="1"/>
    <col min="6" max="16384" width="9" style="1"/>
  </cols>
  <sheetData>
    <row r="1" spans="1:11" s="129" customFormat="1" ht="39.950000000000003" customHeight="1">
      <c r="A1" s="781"/>
      <c r="B1" s="859" t="s">
        <v>952</v>
      </c>
      <c r="C1" s="859"/>
      <c r="D1" s="780"/>
      <c r="E1" s="781"/>
      <c r="F1" s="758"/>
      <c r="G1" s="758"/>
      <c r="H1" s="758"/>
      <c r="I1" s="758"/>
      <c r="J1" s="758"/>
      <c r="K1" s="759"/>
    </row>
    <row r="2" spans="1:11">
      <c r="A2" s="2"/>
      <c r="B2" s="782"/>
      <c r="C2" s="2"/>
      <c r="D2" s="2"/>
      <c r="E2" s="2"/>
    </row>
    <row r="3" spans="1:11" ht="15.75">
      <c r="A3" s="2"/>
      <c r="B3" s="641" t="s">
        <v>786</v>
      </c>
      <c r="C3" s="641" t="s">
        <v>805</v>
      </c>
      <c r="D3" s="641"/>
      <c r="E3" s="2"/>
    </row>
    <row r="4" spans="1:11" ht="15.75">
      <c r="A4" s="2"/>
      <c r="B4" s="767" t="s">
        <v>789</v>
      </c>
      <c r="C4" s="767" t="s">
        <v>812</v>
      </c>
      <c r="D4" s="767"/>
      <c r="E4" s="2"/>
    </row>
    <row r="5" spans="1:11" ht="31.5">
      <c r="A5" s="2"/>
      <c r="B5" s="768" t="s">
        <v>924</v>
      </c>
      <c r="C5" s="768" t="s">
        <v>925</v>
      </c>
      <c r="D5" s="768"/>
      <c r="E5" s="2"/>
      <c r="I5"/>
    </row>
    <row r="6" spans="1:11" ht="15.75">
      <c r="A6" s="2"/>
      <c r="B6" s="768" t="s">
        <v>783</v>
      </c>
      <c r="C6" s="768" t="s">
        <v>814</v>
      </c>
      <c r="D6" s="768"/>
      <c r="E6" s="2"/>
    </row>
    <row r="7" spans="1:11" ht="15.75">
      <c r="A7" s="2"/>
      <c r="B7" s="767" t="s">
        <v>816</v>
      </c>
      <c r="C7" s="767" t="s">
        <v>817</v>
      </c>
      <c r="D7" s="767"/>
      <c r="E7" s="2"/>
    </row>
    <row r="8" spans="1:11" ht="15.75">
      <c r="A8" s="2"/>
      <c r="B8" s="768" t="s">
        <v>787</v>
      </c>
      <c r="C8" s="768" t="s">
        <v>926</v>
      </c>
      <c r="D8" s="768"/>
      <c r="E8" s="2"/>
    </row>
    <row r="9" spans="1:11" ht="15.75">
      <c r="A9" s="2"/>
      <c r="B9" s="767" t="s">
        <v>927</v>
      </c>
      <c r="C9" s="767" t="s">
        <v>928</v>
      </c>
      <c r="D9" s="767"/>
      <c r="E9" s="2"/>
    </row>
    <row r="10" spans="1:11" ht="15.75">
      <c r="A10" s="2"/>
      <c r="B10" s="767" t="s">
        <v>929</v>
      </c>
      <c r="C10" s="767" t="s">
        <v>930</v>
      </c>
      <c r="D10" s="767"/>
      <c r="E10" s="2"/>
    </row>
    <row r="11" spans="1:11" ht="47.25">
      <c r="A11" s="2"/>
      <c r="B11" s="769" t="s">
        <v>931</v>
      </c>
      <c r="C11" s="769" t="s">
        <v>932</v>
      </c>
      <c r="D11" s="769"/>
      <c r="E11" s="2"/>
    </row>
    <row r="12" spans="1:11" ht="15.75">
      <c r="A12" s="2"/>
      <c r="B12" s="770" t="s">
        <v>933</v>
      </c>
      <c r="C12" s="770" t="s">
        <v>934</v>
      </c>
      <c r="D12" s="770"/>
      <c r="E12" s="2"/>
    </row>
    <row r="13" spans="1:11" ht="15.75">
      <c r="A13" s="2"/>
      <c r="B13" s="770" t="s">
        <v>751</v>
      </c>
      <c r="C13" s="770" t="s">
        <v>750</v>
      </c>
      <c r="D13" s="770"/>
      <c r="E13" s="2"/>
    </row>
    <row r="14" spans="1:11" ht="15.75">
      <c r="A14" s="2"/>
      <c r="B14" s="767" t="s">
        <v>808</v>
      </c>
      <c r="C14" s="767" t="s">
        <v>809</v>
      </c>
      <c r="D14" s="767"/>
      <c r="E14" s="2"/>
    </row>
    <row r="15" spans="1:11" ht="31.5">
      <c r="A15" s="2"/>
      <c r="B15" s="767" t="s">
        <v>790</v>
      </c>
      <c r="C15" s="767" t="s">
        <v>935</v>
      </c>
      <c r="D15" s="767"/>
      <c r="E15" s="2"/>
    </row>
    <row r="16" spans="1:11" ht="31.5">
      <c r="A16" s="2"/>
      <c r="B16" s="767" t="s">
        <v>936</v>
      </c>
      <c r="C16" s="767" t="s">
        <v>937</v>
      </c>
      <c r="D16" s="767"/>
      <c r="E16" s="2"/>
    </row>
    <row r="17" spans="1:5" ht="15.75">
      <c r="A17" s="2"/>
      <c r="B17" s="767" t="s">
        <v>788</v>
      </c>
      <c r="C17" s="767" t="s">
        <v>819</v>
      </c>
      <c r="D17" s="767"/>
      <c r="E17" s="2"/>
    </row>
    <row r="18" spans="1:5" ht="15.75">
      <c r="A18" s="2"/>
      <c r="B18" s="767" t="s">
        <v>938</v>
      </c>
      <c r="C18" s="767" t="s">
        <v>939</v>
      </c>
      <c r="D18" s="767"/>
      <c r="E18" s="2"/>
    </row>
    <row r="19" spans="1:5" ht="31.5">
      <c r="A19" s="2"/>
      <c r="B19" s="641" t="s">
        <v>782</v>
      </c>
      <c r="C19" s="641" t="s">
        <v>822</v>
      </c>
      <c r="D19" s="641"/>
      <c r="E19" s="2"/>
    </row>
    <row r="20" spans="1:5" ht="31.5">
      <c r="A20" s="2"/>
      <c r="B20" s="641" t="s">
        <v>780</v>
      </c>
      <c r="C20" s="641" t="s">
        <v>824</v>
      </c>
      <c r="D20" s="641"/>
      <c r="E20" s="2"/>
    </row>
    <row r="21" spans="1:5" ht="63">
      <c r="A21" s="2"/>
      <c r="B21" s="641" t="s">
        <v>730</v>
      </c>
      <c r="C21" s="641" t="s">
        <v>731</v>
      </c>
      <c r="D21" s="641"/>
      <c r="E21" s="2"/>
    </row>
    <row r="22" spans="1:5" ht="15.75">
      <c r="A22" s="2"/>
      <c r="B22" s="641" t="s">
        <v>784</v>
      </c>
      <c r="C22" s="641" t="s">
        <v>940</v>
      </c>
      <c r="D22" s="641"/>
      <c r="E22" s="2"/>
    </row>
    <row r="23" spans="1:5" ht="15.75">
      <c r="A23" s="2"/>
      <c r="B23" s="641" t="s">
        <v>779</v>
      </c>
      <c r="C23" s="641" t="s">
        <v>941</v>
      </c>
      <c r="D23" s="641"/>
      <c r="E23" s="2"/>
    </row>
    <row r="24" spans="1:5" ht="31.5">
      <c r="A24" s="2"/>
      <c r="B24" s="641" t="s">
        <v>644</v>
      </c>
      <c r="C24" s="641" t="s">
        <v>643</v>
      </c>
      <c r="D24" s="641"/>
      <c r="E24" s="2"/>
    </row>
    <row r="25" spans="1:5" ht="31.5">
      <c r="A25" s="2"/>
      <c r="B25" s="767" t="s">
        <v>778</v>
      </c>
      <c r="C25" s="767" t="s">
        <v>942</v>
      </c>
      <c r="D25" s="767"/>
      <c r="E25" s="2"/>
    </row>
    <row r="26" spans="1:5" ht="47.25">
      <c r="A26" s="2"/>
      <c r="B26" s="767" t="s">
        <v>943</v>
      </c>
      <c r="C26" s="767" t="s">
        <v>944</v>
      </c>
      <c r="D26" s="767"/>
      <c r="E26" s="2"/>
    </row>
    <row r="27" spans="1:5" ht="31.5">
      <c r="A27" s="2"/>
      <c r="B27" s="767" t="s">
        <v>781</v>
      </c>
      <c r="C27" s="767" t="s">
        <v>945</v>
      </c>
      <c r="D27" s="767"/>
      <c r="E27" s="2"/>
    </row>
    <row r="28" spans="1:5" ht="15.75">
      <c r="A28" s="2"/>
      <c r="B28" s="767" t="s">
        <v>307</v>
      </c>
      <c r="C28" s="767" t="s">
        <v>946</v>
      </c>
      <c r="D28" s="767"/>
      <c r="E28" s="2"/>
    </row>
    <row r="29" spans="1:5" ht="15.75">
      <c r="A29" s="2"/>
      <c r="B29" s="783"/>
      <c r="C29" s="783"/>
      <c r="D29" s="783"/>
      <c r="E29" s="2"/>
    </row>
    <row r="30" spans="1:5" ht="15.75">
      <c r="A30" s="2"/>
      <c r="B30" s="783"/>
      <c r="C30" s="783"/>
      <c r="D30" s="783"/>
      <c r="E30" s="2"/>
    </row>
    <row r="31" spans="1:5" ht="15.75">
      <c r="A31" s="2"/>
      <c r="B31" s="783"/>
      <c r="C31" s="783"/>
      <c r="D31" s="783"/>
      <c r="E31" s="2"/>
    </row>
    <row r="32" spans="1:5" ht="15.75">
      <c r="A32" s="2"/>
      <c r="B32" s="641" t="s">
        <v>947</v>
      </c>
      <c r="C32" s="641" t="s">
        <v>948</v>
      </c>
      <c r="D32" s="641"/>
      <c r="E32" s="2"/>
    </row>
    <row r="33" spans="1:5" ht="47.25">
      <c r="A33" s="2"/>
      <c r="B33" s="767" t="s">
        <v>949</v>
      </c>
      <c r="C33" s="767" t="s">
        <v>950</v>
      </c>
      <c r="D33" s="767"/>
      <c r="E33" s="2"/>
    </row>
    <row r="34" spans="1:5" ht="15.75">
      <c r="A34" s="2"/>
      <c r="B34" s="641" t="s">
        <v>713</v>
      </c>
      <c r="C34" s="641" t="s">
        <v>712</v>
      </c>
      <c r="D34" s="641"/>
      <c r="E34" s="2"/>
    </row>
    <row r="35" spans="1:5" ht="15.75">
      <c r="A35" s="2"/>
      <c r="B35" s="767" t="s">
        <v>785</v>
      </c>
      <c r="C35" s="767" t="s">
        <v>951</v>
      </c>
      <c r="D35" s="767"/>
      <c r="E35" s="2"/>
    </row>
    <row r="36" spans="1:5" ht="15.75">
      <c r="A36" s="2"/>
      <c r="B36" s="767" t="s">
        <v>736</v>
      </c>
      <c r="C36" s="767" t="s">
        <v>735</v>
      </c>
      <c r="D36" s="767"/>
      <c r="E36" s="2"/>
    </row>
    <row r="37" spans="1:5" ht="15.75">
      <c r="A37" s="2"/>
      <c r="B37" s="751"/>
      <c r="C37" s="751"/>
      <c r="D37" s="751"/>
      <c r="E37" s="2"/>
    </row>
    <row r="38" spans="1:5" ht="15.75">
      <c r="A38" s="2"/>
      <c r="B38" s="771" t="s">
        <v>830</v>
      </c>
      <c r="C38" s="772" t="s">
        <v>953</v>
      </c>
      <c r="D38" s="772"/>
      <c r="E38" s="2"/>
    </row>
    <row r="39" spans="1:5" s="14" customFormat="1" ht="15.75">
      <c r="A39" s="784"/>
      <c r="B39" s="773"/>
      <c r="C39" s="774">
        <v>1</v>
      </c>
      <c r="D39" s="774"/>
      <c r="E39" s="784"/>
    </row>
    <row r="40" spans="1:5" s="14" customFormat="1" ht="15.75">
      <c r="A40" s="784"/>
      <c r="B40" s="775"/>
      <c r="C40" s="774">
        <v>2</v>
      </c>
      <c r="D40" s="774"/>
      <c r="E40" s="784"/>
    </row>
    <row r="41" spans="1:5" s="14" customFormat="1" ht="15.75">
      <c r="A41" s="784"/>
      <c r="B41" s="776"/>
      <c r="C41" s="774">
        <v>3</v>
      </c>
      <c r="D41" s="774"/>
      <c r="E41" s="784"/>
    </row>
    <row r="42" spans="1:5" s="14" customFormat="1" ht="15.75">
      <c r="A42" s="784"/>
      <c r="B42" s="777"/>
      <c r="C42" s="774">
        <v>4</v>
      </c>
      <c r="D42" s="774"/>
      <c r="E42" s="784"/>
    </row>
    <row r="43" spans="1:5" s="14" customFormat="1" ht="15.75">
      <c r="A43" s="784"/>
      <c r="B43" s="778"/>
      <c r="C43" s="774">
        <v>5</v>
      </c>
      <c r="D43" s="774"/>
      <c r="E43" s="784"/>
    </row>
    <row r="44" spans="1:5" s="14" customFormat="1" ht="12.75">
      <c r="A44" s="784"/>
      <c r="B44" s="785"/>
      <c r="C44" s="786"/>
      <c r="D44" s="786"/>
      <c r="E44" s="784"/>
    </row>
  </sheetData>
  <mergeCells count="1">
    <mergeCell ref="B1:C1"/>
  </mergeCells>
  <printOptions horizontalCentered="1"/>
  <pageMargins left="0.51181102362204722" right="0.51181102362204722" top="0.78740157480314965" bottom="0.78740157480314965" header="0.31496062992125984" footer="0.31496062992125984"/>
  <pageSetup paperSize="9" orientation="portrait" r:id="rId1"/>
  <headerFooter>
    <oddFooter>&amp;L&amp;F&amp;C&amp;A&amp;R&amp;P/&amp;N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45"/>
  <sheetViews>
    <sheetView topLeftCell="A25" zoomScaleNormal="100" workbookViewId="0">
      <selection activeCell="C65" sqref="C65:D65"/>
    </sheetView>
  </sheetViews>
  <sheetFormatPr defaultColWidth="7.75" defaultRowHeight="14.25"/>
  <cols>
    <col min="1" max="1" width="3.875" style="627" customWidth="1"/>
    <col min="2" max="2" width="7.75" style="627"/>
    <col min="3" max="3" width="66.25" style="627" customWidth="1"/>
    <col min="4" max="4" width="3.125" style="627" customWidth="1"/>
    <col min="5" max="16384" width="7.75" style="627"/>
  </cols>
  <sheetData>
    <row r="1" spans="1:6" s="129" customFormat="1" ht="39.950000000000003" customHeight="1">
      <c r="A1" s="858" t="s">
        <v>832</v>
      </c>
      <c r="B1" s="858"/>
      <c r="C1" s="858"/>
      <c r="D1" s="858"/>
      <c r="E1" s="651"/>
      <c r="F1" s="651"/>
    </row>
    <row r="2" spans="1:6">
      <c r="A2" s="652"/>
      <c r="B2" s="652"/>
      <c r="C2" s="652"/>
      <c r="D2" s="652"/>
    </row>
    <row r="3" spans="1:6" ht="69" customHeight="1">
      <c r="A3" s="652"/>
      <c r="B3" s="856" t="s">
        <v>802</v>
      </c>
      <c r="C3" s="856"/>
      <c r="D3" s="652"/>
    </row>
    <row r="4" spans="1:6" ht="15.75">
      <c r="A4" s="652"/>
      <c r="B4" s="629" t="s">
        <v>803</v>
      </c>
      <c r="C4" s="630" t="s">
        <v>804</v>
      </c>
      <c r="D4" s="652"/>
    </row>
    <row r="5" spans="1:6" ht="15.75">
      <c r="A5" s="652"/>
      <c r="B5" s="628"/>
      <c r="C5" s="628"/>
      <c r="D5" s="652"/>
    </row>
    <row r="6" spans="1:6" ht="15.75">
      <c r="A6" s="652"/>
      <c r="B6" s="631" t="s">
        <v>786</v>
      </c>
      <c r="C6" s="632" t="s">
        <v>805</v>
      </c>
      <c r="D6" s="652"/>
    </row>
    <row r="7" spans="1:6" ht="35.25" customHeight="1">
      <c r="A7" s="652"/>
      <c r="B7" s="628"/>
      <c r="C7" s="633" t="s">
        <v>806</v>
      </c>
      <c r="D7" s="652"/>
    </row>
    <row r="8" spans="1:6" ht="15.75">
      <c r="A8" s="652"/>
      <c r="B8" s="634" t="s">
        <v>751</v>
      </c>
      <c r="C8" s="635" t="s">
        <v>750</v>
      </c>
      <c r="D8" s="652"/>
    </row>
    <row r="9" spans="1:6" ht="47.25">
      <c r="A9" s="652"/>
      <c r="B9" s="628"/>
      <c r="C9" s="633" t="s">
        <v>807</v>
      </c>
      <c r="D9" s="652"/>
    </row>
    <row r="10" spans="1:6" ht="15.75">
      <c r="A10" s="652"/>
      <c r="B10" s="636" t="s">
        <v>808</v>
      </c>
      <c r="C10" s="637" t="s">
        <v>809</v>
      </c>
      <c r="D10" s="652"/>
    </row>
    <row r="11" spans="1:6" ht="47.25">
      <c r="A11" s="652"/>
      <c r="B11" s="628"/>
      <c r="C11" s="633" t="s">
        <v>810</v>
      </c>
      <c r="D11" s="652"/>
    </row>
    <row r="12" spans="1:6" ht="15.75">
      <c r="A12" s="652"/>
      <c r="B12" s="628"/>
      <c r="C12" s="628"/>
      <c r="D12" s="652"/>
    </row>
    <row r="13" spans="1:6" ht="15.75">
      <c r="A13" s="652"/>
      <c r="B13" s="629">
        <v>2</v>
      </c>
      <c r="C13" s="630" t="s">
        <v>811</v>
      </c>
      <c r="D13" s="652"/>
    </row>
    <row r="14" spans="1:6" ht="15.75">
      <c r="A14" s="652"/>
      <c r="B14" s="628"/>
      <c r="C14" s="628"/>
      <c r="D14" s="652"/>
    </row>
    <row r="15" spans="1:6" ht="15.75">
      <c r="A15" s="652"/>
      <c r="B15" s="636" t="s">
        <v>789</v>
      </c>
      <c r="C15" s="637" t="s">
        <v>812</v>
      </c>
      <c r="D15" s="652"/>
    </row>
    <row r="16" spans="1:6" ht="67.5" customHeight="1">
      <c r="A16" s="652"/>
      <c r="B16" s="628"/>
      <c r="C16" s="633" t="s">
        <v>813</v>
      </c>
      <c r="D16" s="652"/>
    </row>
    <row r="17" spans="1:4" ht="15.75">
      <c r="A17" s="652"/>
      <c r="B17" s="638" t="s">
        <v>783</v>
      </c>
      <c r="C17" s="639" t="s">
        <v>814</v>
      </c>
      <c r="D17" s="652"/>
    </row>
    <row r="18" spans="1:4" ht="130.5" customHeight="1">
      <c r="A18" s="652"/>
      <c r="B18" s="628"/>
      <c r="C18" s="633" t="s">
        <v>815</v>
      </c>
      <c r="D18" s="652"/>
    </row>
    <row r="19" spans="1:4" ht="15.75">
      <c r="A19" s="652"/>
      <c r="B19" s="636" t="s">
        <v>816</v>
      </c>
      <c r="C19" s="637" t="s">
        <v>817</v>
      </c>
      <c r="D19" s="652"/>
    </row>
    <row r="20" spans="1:4" ht="47.25">
      <c r="A20" s="652"/>
      <c r="B20" s="628"/>
      <c r="C20" s="633" t="s">
        <v>818</v>
      </c>
      <c r="D20" s="652"/>
    </row>
    <row r="21" spans="1:4" ht="15.75">
      <c r="A21" s="652"/>
      <c r="B21" s="636" t="s">
        <v>788</v>
      </c>
      <c r="C21" s="637" t="s">
        <v>819</v>
      </c>
      <c r="D21" s="652"/>
    </row>
    <row r="22" spans="1:4" ht="47.25">
      <c r="A22" s="652"/>
      <c r="B22" s="628"/>
      <c r="C22" s="633" t="s">
        <v>820</v>
      </c>
      <c r="D22" s="652"/>
    </row>
    <row r="23" spans="1:4" ht="15.75">
      <c r="A23" s="652"/>
      <c r="B23" s="629">
        <v>3</v>
      </c>
      <c r="C23" s="630" t="s">
        <v>821</v>
      </c>
      <c r="D23" s="652"/>
    </row>
    <row r="24" spans="1:4" ht="15.75">
      <c r="A24" s="652"/>
      <c r="B24" s="628"/>
      <c r="C24" s="628"/>
      <c r="D24" s="652"/>
    </row>
    <row r="25" spans="1:4" ht="31.5">
      <c r="A25" s="652"/>
      <c r="B25" s="640" t="s">
        <v>782</v>
      </c>
      <c r="C25" s="641" t="s">
        <v>822</v>
      </c>
      <c r="D25" s="652"/>
    </row>
    <row r="26" spans="1:4" ht="63">
      <c r="A26" s="652"/>
      <c r="B26" s="628"/>
      <c r="C26" s="633" t="s">
        <v>823</v>
      </c>
      <c r="D26" s="652"/>
    </row>
    <row r="27" spans="1:4" ht="31.5">
      <c r="A27" s="652"/>
      <c r="B27" s="640" t="s">
        <v>780</v>
      </c>
      <c r="C27" s="641" t="s">
        <v>824</v>
      </c>
      <c r="D27" s="652"/>
    </row>
    <row r="29" spans="1:4" ht="47.25">
      <c r="A29" s="652"/>
      <c r="B29" s="640" t="s">
        <v>730</v>
      </c>
      <c r="C29" s="641" t="s">
        <v>731</v>
      </c>
      <c r="D29" s="652"/>
    </row>
    <row r="30" spans="1:4" ht="15.75">
      <c r="A30" s="652"/>
      <c r="B30" s="628"/>
      <c r="C30" s="628"/>
      <c r="D30" s="652"/>
    </row>
    <row r="31" spans="1:4" ht="15.75">
      <c r="A31" s="652"/>
      <c r="B31" s="640" t="s">
        <v>713</v>
      </c>
      <c r="C31" s="642" t="s">
        <v>712</v>
      </c>
      <c r="D31" s="652"/>
    </row>
    <row r="32" spans="1:4" ht="63">
      <c r="A32" s="652"/>
      <c r="B32" s="628"/>
      <c r="C32" s="633" t="s">
        <v>825</v>
      </c>
      <c r="D32" s="652"/>
    </row>
    <row r="33" spans="1:4" ht="50.25" customHeight="1">
      <c r="A33" s="652"/>
      <c r="B33" s="628"/>
      <c r="C33" s="643" t="s">
        <v>826</v>
      </c>
      <c r="D33" s="652"/>
    </row>
    <row r="34" spans="1:4" ht="31.5">
      <c r="A34" s="652"/>
      <c r="B34" s="628"/>
      <c r="C34" s="643" t="s">
        <v>827</v>
      </c>
      <c r="D34" s="652"/>
    </row>
    <row r="35" spans="1:4" ht="31.5">
      <c r="A35" s="652"/>
      <c r="B35" s="628"/>
      <c r="C35" s="643" t="s">
        <v>828</v>
      </c>
      <c r="D35" s="652"/>
    </row>
    <row r="36" spans="1:4" ht="15.75">
      <c r="A36" s="652"/>
      <c r="B36" s="628"/>
      <c r="C36" s="628"/>
      <c r="D36" s="652"/>
    </row>
    <row r="37" spans="1:4" ht="15.75">
      <c r="A37" s="652"/>
      <c r="B37" s="857" t="s">
        <v>829</v>
      </c>
      <c r="C37" s="857"/>
      <c r="D37" s="652"/>
    </row>
    <row r="38" spans="1:4" ht="15.75">
      <c r="A38" s="652"/>
      <c r="B38" s="643"/>
      <c r="C38" s="643"/>
      <c r="D38" s="652"/>
    </row>
    <row r="39" spans="1:4" ht="15.75">
      <c r="A39" s="652"/>
      <c r="B39" s="644" t="s">
        <v>830</v>
      </c>
      <c r="C39" s="644" t="s">
        <v>831</v>
      </c>
      <c r="D39" s="652"/>
    </row>
    <row r="40" spans="1:4" s="646" customFormat="1" ht="15.75">
      <c r="A40" s="653"/>
      <c r="B40" s="645"/>
      <c r="C40" s="628">
        <v>1</v>
      </c>
      <c r="D40" s="653"/>
    </row>
    <row r="41" spans="1:4" s="646" customFormat="1" ht="15.75">
      <c r="A41" s="653"/>
      <c r="B41" s="647"/>
      <c r="C41" s="628">
        <v>2</v>
      </c>
      <c r="D41" s="653"/>
    </row>
    <row r="42" spans="1:4" s="646" customFormat="1" ht="15.75">
      <c r="A42" s="653"/>
      <c r="B42" s="648"/>
      <c r="C42" s="628">
        <v>3</v>
      </c>
      <c r="D42" s="653"/>
    </row>
    <row r="43" spans="1:4" s="646" customFormat="1" ht="15.75">
      <c r="A43" s="653"/>
      <c r="B43" s="649"/>
      <c r="C43" s="628">
        <v>4</v>
      </c>
      <c r="D43" s="653"/>
    </row>
    <row r="44" spans="1:4" s="646" customFormat="1" ht="15.75">
      <c r="A44" s="653"/>
      <c r="B44" s="650"/>
      <c r="C44" s="628">
        <v>5</v>
      </c>
      <c r="D44" s="653"/>
    </row>
    <row r="45" spans="1:4" s="646" customFormat="1" ht="15.75">
      <c r="A45" s="653"/>
      <c r="B45" s="628"/>
      <c r="C45" s="628"/>
      <c r="D45" s="653"/>
    </row>
  </sheetData>
  <mergeCells count="3">
    <mergeCell ref="A1:D1"/>
    <mergeCell ref="B3:C3"/>
    <mergeCell ref="B37:C37"/>
  </mergeCells>
  <printOptions horizontalCentered="1"/>
  <pageMargins left="0.51181102362204722" right="0.51181102362204722" top="0.78740157480314965" bottom="0.78740157480314965" header="0.31496062992125984" footer="0.31496062992125984"/>
  <pageSetup paperSize="9" orientation="portrait" r:id="rId1"/>
  <headerFooter>
    <oddFooter>&amp;L&amp;F&amp;C&amp;A&amp;R&amp;P/&amp;N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208"/>
  <sheetViews>
    <sheetView view="pageBreakPreview" zoomScale="110" zoomScaleNormal="100" zoomScaleSheetLayoutView="110" workbookViewId="0">
      <selection activeCell="N150" sqref="N150"/>
    </sheetView>
  </sheetViews>
  <sheetFormatPr defaultRowHeight="15"/>
  <cols>
    <col min="1" max="3" width="11.875" style="130" customWidth="1"/>
    <col min="4" max="4" width="65.125" style="130" customWidth="1"/>
    <col min="5" max="10" width="11.125" style="130" hidden="1" customWidth="1"/>
    <col min="11" max="13" width="9" style="130"/>
    <col min="14" max="14" width="42" style="130" bestFit="1" customWidth="1"/>
    <col min="15" max="16384" width="9" style="130"/>
  </cols>
  <sheetData>
    <row r="1" spans="1:12" s="129" customFormat="1" ht="39.950000000000003" customHeight="1">
      <c r="A1" s="804" t="s">
        <v>891</v>
      </c>
      <c r="B1" s="804"/>
      <c r="C1" s="804"/>
      <c r="D1" s="804"/>
      <c r="E1" s="804"/>
      <c r="F1" s="804"/>
      <c r="G1" s="804"/>
      <c r="H1" s="804"/>
      <c r="I1" s="804"/>
      <c r="J1" s="804"/>
    </row>
    <row r="2" spans="1:12" s="129" customFormat="1" ht="20.100000000000001" customHeight="1">
      <c r="A2" s="791"/>
      <c r="B2" s="791"/>
      <c r="C2" s="791"/>
      <c r="D2" s="791"/>
      <c r="E2" s="791"/>
      <c r="F2" s="791"/>
      <c r="G2" s="791"/>
      <c r="H2" s="791"/>
      <c r="I2" s="791"/>
      <c r="J2" s="791"/>
    </row>
    <row r="3" spans="1:12" hidden="1">
      <c r="A3" s="443" t="s">
        <v>413</v>
      </c>
      <c r="B3" s="443"/>
      <c r="C3" s="443"/>
      <c r="D3" s="443"/>
      <c r="E3" s="790" t="s">
        <v>1</v>
      </c>
      <c r="F3" s="790">
        <v>2021</v>
      </c>
      <c r="G3" s="790">
        <v>2022</v>
      </c>
      <c r="H3" s="790">
        <v>2023</v>
      </c>
      <c r="I3" s="790">
        <v>2024</v>
      </c>
      <c r="J3" s="790">
        <v>2025</v>
      </c>
    </row>
    <row r="4" spans="1:12" hidden="1">
      <c r="A4" s="443"/>
      <c r="B4" s="443"/>
      <c r="C4" s="443"/>
      <c r="D4" s="443"/>
      <c r="E4" s="790" t="s">
        <v>173</v>
      </c>
      <c r="F4" s="790" t="s">
        <v>173</v>
      </c>
      <c r="G4" s="790" t="s">
        <v>173</v>
      </c>
      <c r="H4" s="790" t="s">
        <v>173</v>
      </c>
      <c r="I4" s="790" t="s">
        <v>173</v>
      </c>
      <c r="J4" s="790" t="s">
        <v>173</v>
      </c>
    </row>
    <row r="5" spans="1:12" s="129" customFormat="1" ht="20.100000000000001" hidden="1" customHeight="1">
      <c r="A5" s="822" t="s">
        <v>414</v>
      </c>
      <c r="B5" s="822"/>
      <c r="C5" s="822"/>
      <c r="D5" s="822"/>
      <c r="E5" s="445">
        <f>SUM(F5:J5)</f>
        <v>144649010.75999999</v>
      </c>
      <c r="F5" s="445">
        <v>80177675.760000005</v>
      </c>
      <c r="G5" s="445">
        <v>15274251</v>
      </c>
      <c r="H5" s="445">
        <v>15821890</v>
      </c>
      <c r="I5" s="445">
        <v>16391434</v>
      </c>
      <c r="J5" s="445">
        <v>16983760</v>
      </c>
    </row>
    <row r="6" spans="1:12" ht="5.0999999999999996" hidden="1" customHeight="1"/>
    <row r="7" spans="1:12" hidden="1">
      <c r="A7" s="443" t="s">
        <v>190</v>
      </c>
      <c r="B7" s="443" t="s">
        <v>415</v>
      </c>
      <c r="C7" s="443" t="s">
        <v>416</v>
      </c>
      <c r="D7" s="443" t="s">
        <v>317</v>
      </c>
      <c r="E7" s="790" t="s">
        <v>1</v>
      </c>
      <c r="F7" s="790">
        <v>2021</v>
      </c>
      <c r="G7" s="790">
        <v>2022</v>
      </c>
      <c r="H7" s="790">
        <v>2023</v>
      </c>
      <c r="I7" s="790">
        <v>2024</v>
      </c>
      <c r="J7" s="790">
        <v>2025</v>
      </c>
    </row>
    <row r="8" spans="1:12" hidden="1">
      <c r="A8" s="443"/>
      <c r="B8" s="443"/>
      <c r="C8" s="443"/>
      <c r="D8" s="443"/>
      <c r="E8" s="790" t="s">
        <v>173</v>
      </c>
      <c r="F8" s="790" t="s">
        <v>173</v>
      </c>
      <c r="G8" s="790" t="s">
        <v>173</v>
      </c>
      <c r="H8" s="790" t="s">
        <v>173</v>
      </c>
      <c r="I8" s="790" t="s">
        <v>173</v>
      </c>
      <c r="J8" s="790" t="s">
        <v>173</v>
      </c>
    </row>
    <row r="9" spans="1:12" ht="5.0999999999999996" hidden="1" customHeight="1"/>
    <row r="10" spans="1:12" ht="20.100000000000001" hidden="1" customHeight="1">
      <c r="A10" s="446">
        <v>1</v>
      </c>
      <c r="B10" s="447" t="str">
        <f>B17</f>
        <v>GESTÃO DE RECURSOS HÍDRICOS</v>
      </c>
      <c r="C10" s="447"/>
      <c r="D10" s="447"/>
      <c r="E10" s="448">
        <f>E17</f>
        <v>58865000</v>
      </c>
      <c r="F10" s="448">
        <f t="shared" ref="F10:J10" si="0">F17</f>
        <v>6105000</v>
      </c>
      <c r="G10" s="448">
        <f t="shared" si="0"/>
        <v>4375000</v>
      </c>
      <c r="H10" s="448">
        <f t="shared" si="0"/>
        <v>40625000</v>
      </c>
      <c r="I10" s="448">
        <f t="shared" si="0"/>
        <v>3800000</v>
      </c>
      <c r="J10" s="448">
        <f t="shared" si="0"/>
        <v>3960000</v>
      </c>
    </row>
    <row r="11" spans="1:12" ht="20.100000000000001" hidden="1" customHeight="1">
      <c r="A11" s="449">
        <v>2</v>
      </c>
      <c r="B11" s="450" t="str">
        <f>B126</f>
        <v>AGENDA SETORIAL</v>
      </c>
      <c r="C11" s="451"/>
      <c r="D11" s="451"/>
      <c r="E11" s="452">
        <f>E126</f>
        <v>72000000</v>
      </c>
      <c r="F11" s="452">
        <f t="shared" ref="F11:J11" si="1">F126</f>
        <v>32740000</v>
      </c>
      <c r="G11" s="452">
        <f t="shared" si="1"/>
        <v>21660000</v>
      </c>
      <c r="H11" s="452">
        <f t="shared" si="1"/>
        <v>5910000</v>
      </c>
      <c r="I11" s="452">
        <f t="shared" si="1"/>
        <v>6190000</v>
      </c>
      <c r="J11" s="452">
        <f t="shared" si="1"/>
        <v>5500000</v>
      </c>
    </row>
    <row r="12" spans="1:12" ht="20.100000000000001" hidden="1" customHeight="1">
      <c r="A12" s="453">
        <v>3</v>
      </c>
      <c r="B12" s="454" t="str">
        <f>B176</f>
        <v>APOIO AO COMITÊ DE BACIA HIDROGRÁFICA</v>
      </c>
      <c r="C12" s="455"/>
      <c r="D12" s="455"/>
      <c r="E12" s="456">
        <f>E176</f>
        <v>6750000</v>
      </c>
      <c r="F12" s="456">
        <f t="shared" ref="F12:J12" si="2">F176</f>
        <v>1020000</v>
      </c>
      <c r="G12" s="456">
        <f t="shared" si="2"/>
        <v>1400000</v>
      </c>
      <c r="H12" s="456">
        <f t="shared" si="2"/>
        <v>1430000</v>
      </c>
      <c r="I12" s="456">
        <f t="shared" si="2"/>
        <v>1430000</v>
      </c>
      <c r="J12" s="456">
        <f t="shared" si="2"/>
        <v>1470000</v>
      </c>
    </row>
    <row r="13" spans="1:12" ht="20.100000000000001" hidden="1" customHeight="1">
      <c r="A13" s="457">
        <v>4</v>
      </c>
      <c r="B13" s="458" t="str">
        <f>B191</f>
        <v>MANUTENÇÃO DO COMITÊ DE BACIA HIDROGRÁFICA E DA ENTIDADE DELEGATÁRIA</v>
      </c>
      <c r="C13" s="459"/>
      <c r="D13" s="459"/>
      <c r="E13" s="460">
        <f>E191</f>
        <v>7034010.9073305605</v>
      </c>
      <c r="F13" s="460">
        <f t="shared" ref="F13:J13" si="3">F191</f>
        <v>1315200</v>
      </c>
      <c r="G13" s="460">
        <f t="shared" si="3"/>
        <v>1346723.04</v>
      </c>
      <c r="H13" s="460">
        <f t="shared" si="3"/>
        <v>1400591.9616</v>
      </c>
      <c r="I13" s="460">
        <f t="shared" si="3"/>
        <v>1456615.6400640002</v>
      </c>
      <c r="J13" s="460">
        <f t="shared" si="3"/>
        <v>1514880.2656665603</v>
      </c>
    </row>
    <row r="14" spans="1:12" ht="5.0999999999999996" hidden="1" customHeight="1"/>
    <row r="15" spans="1:12" ht="20.100000000000001" hidden="1" customHeight="1">
      <c r="A15" s="443"/>
      <c r="B15" s="443" t="s">
        <v>228</v>
      </c>
      <c r="C15" s="443"/>
      <c r="D15" s="443"/>
      <c r="E15" s="461">
        <f>SUM(E10:E13)</f>
        <v>144649010.90733057</v>
      </c>
      <c r="F15" s="461">
        <f>SUM(F10:F13)</f>
        <v>41180200</v>
      </c>
      <c r="G15" s="461">
        <f t="shared" ref="G15:J15" si="4">SUM(G10:G13)</f>
        <v>28781723.039999999</v>
      </c>
      <c r="H15" s="461">
        <f t="shared" si="4"/>
        <v>49365591.961599998</v>
      </c>
      <c r="I15" s="461">
        <f t="shared" si="4"/>
        <v>12876615.640064001</v>
      </c>
      <c r="J15" s="461">
        <f t="shared" si="4"/>
        <v>12444880.265666559</v>
      </c>
      <c r="L15" s="616"/>
    </row>
    <row r="16" spans="1:12" ht="10.5" hidden="1" customHeight="1">
      <c r="K16" s="565"/>
      <c r="L16" s="565"/>
    </row>
    <row r="17" spans="1:10" ht="20.100000000000001" customHeight="1">
      <c r="A17" s="463" t="s">
        <v>190</v>
      </c>
      <c r="B17" s="823" t="s">
        <v>191</v>
      </c>
      <c r="C17" s="824"/>
      <c r="D17" s="824"/>
      <c r="E17" s="464">
        <f t="shared" ref="E17:J17" si="5">E18+E27+E37+E47+E55+E61+E65+E81+E97+E115</f>
        <v>58865000</v>
      </c>
      <c r="F17" s="464">
        <f t="shared" si="5"/>
        <v>6105000</v>
      </c>
      <c r="G17" s="464">
        <f t="shared" si="5"/>
        <v>4375000</v>
      </c>
      <c r="H17" s="464">
        <f t="shared" si="5"/>
        <v>40625000</v>
      </c>
      <c r="I17" s="464">
        <f t="shared" si="5"/>
        <v>3800000</v>
      </c>
      <c r="J17" s="464">
        <f t="shared" si="5"/>
        <v>3960000</v>
      </c>
    </row>
    <row r="18" spans="1:10" ht="20.100000000000001" customHeight="1">
      <c r="A18" s="465" t="s">
        <v>192</v>
      </c>
      <c r="B18" s="466" t="s">
        <v>192</v>
      </c>
      <c r="C18" s="813" t="s">
        <v>351</v>
      </c>
      <c r="D18" s="814"/>
      <c r="E18" s="475">
        <f>E20+E23+E25</f>
        <v>450000</v>
      </c>
      <c r="F18" s="475">
        <f t="shared" ref="F18:J18" si="6">F20+F23+F25</f>
        <v>150000</v>
      </c>
      <c r="G18" s="475">
        <f t="shared" si="6"/>
        <v>300000</v>
      </c>
      <c r="H18" s="475">
        <f t="shared" si="6"/>
        <v>0</v>
      </c>
      <c r="I18" s="475">
        <f t="shared" si="6"/>
        <v>0</v>
      </c>
      <c r="J18" s="475">
        <f t="shared" si="6"/>
        <v>0</v>
      </c>
    </row>
    <row r="19" spans="1:10" ht="20.100000000000001" customHeight="1">
      <c r="A19" s="618" t="s">
        <v>193</v>
      </c>
      <c r="B19" s="619" t="s">
        <v>417</v>
      </c>
      <c r="C19" s="813" t="s">
        <v>195</v>
      </c>
      <c r="D19" s="814"/>
      <c r="E19" s="467"/>
      <c r="F19" s="467"/>
      <c r="G19" s="467"/>
      <c r="H19" s="467"/>
      <c r="I19" s="467"/>
      <c r="J19" s="467"/>
    </row>
    <row r="20" spans="1:10" ht="20.100000000000001" customHeight="1">
      <c r="A20" s="621" t="s">
        <v>194</v>
      </c>
      <c r="B20" s="622"/>
      <c r="C20" s="825" t="s">
        <v>352</v>
      </c>
      <c r="D20" s="826"/>
      <c r="E20" s="478">
        <f>E21</f>
        <v>450000</v>
      </c>
      <c r="F20" s="478">
        <f t="shared" ref="F20:J20" si="7">F21</f>
        <v>150000</v>
      </c>
      <c r="G20" s="478">
        <f t="shared" si="7"/>
        <v>300000</v>
      </c>
      <c r="H20" s="478">
        <f t="shared" si="7"/>
        <v>0</v>
      </c>
      <c r="I20" s="478">
        <f t="shared" si="7"/>
        <v>0</v>
      </c>
      <c r="J20" s="478">
        <f t="shared" si="7"/>
        <v>0</v>
      </c>
    </row>
    <row r="21" spans="1:10" ht="20.100000000000001" hidden="1" customHeight="1">
      <c r="A21" s="500"/>
      <c r="B21" s="501"/>
      <c r="C21" s="555" t="s">
        <v>418</v>
      </c>
      <c r="D21" s="748" t="str">
        <f>'Ação 1.1.1 '!D34:M34</f>
        <v>Acompanhamento da atualização e revisão do Plano de Recursos Hídricos (PRH)</v>
      </c>
      <c r="E21" s="749">
        <f>SUM(F21:J21)</f>
        <v>450000</v>
      </c>
      <c r="F21" s="749">
        <v>150000</v>
      </c>
      <c r="G21" s="749">
        <v>300000</v>
      </c>
      <c r="H21" s="749">
        <v>0</v>
      </c>
      <c r="I21" s="749">
        <v>0</v>
      </c>
      <c r="J21" s="749">
        <v>0</v>
      </c>
    </row>
    <row r="22" spans="1:10" ht="20.100000000000001" hidden="1" customHeight="1">
      <c r="A22" s="500"/>
      <c r="B22" s="501"/>
      <c r="C22" s="555"/>
      <c r="D22" s="748" t="s">
        <v>479</v>
      </c>
      <c r="E22" s="749"/>
      <c r="F22" s="749"/>
      <c r="G22" s="749"/>
      <c r="H22" s="749"/>
      <c r="I22" s="749"/>
      <c r="J22" s="749"/>
    </row>
    <row r="23" spans="1:10" ht="20.100000000000001" hidden="1" customHeight="1">
      <c r="A23" s="621" t="s">
        <v>196</v>
      </c>
      <c r="B23" s="622"/>
      <c r="C23" s="825" t="s">
        <v>197</v>
      </c>
      <c r="D23" s="826"/>
      <c r="E23" s="478"/>
      <c r="F23" s="478"/>
      <c r="G23" s="478"/>
      <c r="H23" s="478"/>
      <c r="I23" s="478"/>
      <c r="J23" s="478"/>
    </row>
    <row r="24" spans="1:10" ht="20.100000000000001" hidden="1" customHeight="1">
      <c r="A24" s="500"/>
      <c r="B24" s="501"/>
      <c r="C24" s="555" t="s">
        <v>419</v>
      </c>
      <c r="D24" s="748" t="s">
        <v>420</v>
      </c>
      <c r="E24" s="749"/>
      <c r="F24" s="749"/>
      <c r="G24" s="749"/>
      <c r="H24" s="749"/>
      <c r="I24" s="749"/>
      <c r="J24" s="749"/>
    </row>
    <row r="25" spans="1:10" ht="20.100000000000001" hidden="1" customHeight="1">
      <c r="A25" s="621" t="s">
        <v>198</v>
      </c>
      <c r="B25" s="622"/>
      <c r="C25" s="825" t="s">
        <v>199</v>
      </c>
      <c r="D25" s="826"/>
      <c r="E25" s="478"/>
      <c r="F25" s="478"/>
      <c r="G25" s="478"/>
      <c r="H25" s="478"/>
      <c r="I25" s="478"/>
      <c r="J25" s="478"/>
    </row>
    <row r="26" spans="1:10" ht="20.100000000000001" hidden="1" customHeight="1">
      <c r="A26" s="500"/>
      <c r="B26" s="501"/>
      <c r="C26" s="555" t="s">
        <v>421</v>
      </c>
      <c r="D26" s="748" t="s">
        <v>617</v>
      </c>
      <c r="E26" s="749"/>
      <c r="F26" s="749"/>
      <c r="G26" s="749"/>
      <c r="H26" s="749"/>
      <c r="I26" s="749"/>
      <c r="J26" s="749"/>
    </row>
    <row r="27" spans="1:10" ht="15" hidden="1" customHeight="1">
      <c r="A27" s="620" t="s">
        <v>192</v>
      </c>
      <c r="B27" s="620" t="s">
        <v>192</v>
      </c>
      <c r="C27" s="813" t="s">
        <v>422</v>
      </c>
      <c r="D27" s="814"/>
      <c r="E27" s="467"/>
      <c r="F27" s="467"/>
      <c r="G27" s="467"/>
      <c r="H27" s="467"/>
      <c r="I27" s="467"/>
      <c r="J27" s="467"/>
    </row>
    <row r="28" spans="1:10" ht="15" hidden="1" customHeight="1">
      <c r="A28" s="465" t="s">
        <v>193</v>
      </c>
      <c r="B28" s="466" t="s">
        <v>417</v>
      </c>
      <c r="C28" s="813" t="s">
        <v>195</v>
      </c>
      <c r="D28" s="814"/>
      <c r="E28" s="467"/>
      <c r="F28" s="467"/>
      <c r="G28" s="467"/>
      <c r="H28" s="467"/>
      <c r="I28" s="467"/>
      <c r="J28" s="467"/>
    </row>
    <row r="29" spans="1:10" ht="30" hidden="1" customHeight="1">
      <c r="A29" s="476" t="s">
        <v>423</v>
      </c>
      <c r="B29" s="477" t="s">
        <v>778</v>
      </c>
      <c r="C29" s="827" t="s">
        <v>424</v>
      </c>
      <c r="D29" s="828"/>
      <c r="E29" s="478"/>
      <c r="F29" s="478"/>
      <c r="G29" s="478"/>
      <c r="H29" s="478"/>
      <c r="I29" s="478"/>
      <c r="J29" s="478"/>
    </row>
    <row r="30" spans="1:10" hidden="1">
      <c r="A30" s="471"/>
      <c r="B30" s="131"/>
      <c r="C30" s="131"/>
      <c r="D30" s="472"/>
      <c r="E30" s="473"/>
      <c r="F30" s="473"/>
      <c r="G30" s="473"/>
      <c r="H30" s="473"/>
      <c r="I30" s="473"/>
      <c r="J30" s="473"/>
    </row>
    <row r="31" spans="1:10" ht="30" hidden="1" customHeight="1">
      <c r="A31" s="476" t="s">
        <v>425</v>
      </c>
      <c r="B31" s="477"/>
      <c r="C31" s="827" t="s">
        <v>426</v>
      </c>
      <c r="D31" s="828"/>
      <c r="E31" s="478"/>
      <c r="F31" s="478"/>
      <c r="G31" s="478"/>
      <c r="H31" s="478"/>
      <c r="I31" s="478"/>
      <c r="J31" s="478"/>
    </row>
    <row r="32" spans="1:10" hidden="1">
      <c r="A32" s="471"/>
      <c r="B32" s="131"/>
      <c r="C32" s="131"/>
      <c r="D32" s="472"/>
      <c r="E32" s="473"/>
      <c r="F32" s="473"/>
      <c r="G32" s="473"/>
      <c r="H32" s="473"/>
      <c r="I32" s="473"/>
      <c r="J32" s="473"/>
    </row>
    <row r="33" spans="1:10" ht="20.100000000000001" hidden="1" customHeight="1">
      <c r="A33" s="476" t="s">
        <v>427</v>
      </c>
      <c r="B33" s="477"/>
      <c r="C33" s="827" t="s">
        <v>428</v>
      </c>
      <c r="D33" s="828"/>
      <c r="E33" s="478"/>
      <c r="F33" s="478"/>
      <c r="G33" s="478"/>
      <c r="H33" s="478"/>
      <c r="I33" s="478"/>
      <c r="J33" s="478"/>
    </row>
    <row r="34" spans="1:10" hidden="1">
      <c r="A34" s="471"/>
      <c r="B34" s="131"/>
      <c r="C34" s="131"/>
      <c r="D34" s="474"/>
      <c r="E34" s="473"/>
      <c r="F34" s="473"/>
      <c r="G34" s="473"/>
      <c r="H34" s="473"/>
      <c r="I34" s="473"/>
      <c r="J34" s="473"/>
    </row>
    <row r="35" spans="1:10" ht="20.100000000000001" hidden="1" customHeight="1">
      <c r="A35" s="476" t="s">
        <v>429</v>
      </c>
      <c r="B35" s="477"/>
      <c r="C35" s="827" t="s">
        <v>430</v>
      </c>
      <c r="D35" s="828"/>
      <c r="E35" s="478"/>
      <c r="F35" s="478"/>
      <c r="G35" s="478"/>
      <c r="H35" s="478"/>
      <c r="I35" s="478"/>
      <c r="J35" s="478"/>
    </row>
    <row r="36" spans="1:10" hidden="1">
      <c r="A36" s="471"/>
      <c r="B36" s="131"/>
      <c r="C36" s="131"/>
      <c r="D36" s="611"/>
      <c r="E36" s="473"/>
      <c r="F36" s="473"/>
      <c r="G36" s="473"/>
      <c r="H36" s="473"/>
      <c r="I36" s="473"/>
      <c r="J36" s="473"/>
    </row>
    <row r="37" spans="1:10" hidden="1">
      <c r="A37" s="465" t="s">
        <v>192</v>
      </c>
      <c r="B37" s="466" t="s">
        <v>192</v>
      </c>
      <c r="C37" s="813" t="s">
        <v>431</v>
      </c>
      <c r="D37" s="814"/>
      <c r="E37" s="467"/>
      <c r="F37" s="467"/>
      <c r="G37" s="467"/>
      <c r="H37" s="467"/>
      <c r="I37" s="467"/>
      <c r="J37" s="467"/>
    </row>
    <row r="38" spans="1:10" hidden="1">
      <c r="A38" s="465" t="s">
        <v>193</v>
      </c>
      <c r="B38" s="466" t="s">
        <v>417</v>
      </c>
      <c r="C38" s="813" t="s">
        <v>195</v>
      </c>
      <c r="D38" s="814"/>
      <c r="E38" s="467"/>
      <c r="F38" s="467"/>
      <c r="G38" s="467"/>
      <c r="H38" s="467"/>
      <c r="I38" s="467"/>
      <c r="J38" s="467"/>
    </row>
    <row r="39" spans="1:10" ht="20.100000000000001" hidden="1" customHeight="1">
      <c r="A39" s="476" t="s">
        <v>432</v>
      </c>
      <c r="B39" s="477" t="s">
        <v>779</v>
      </c>
      <c r="C39" s="827" t="s">
        <v>433</v>
      </c>
      <c r="D39" s="828"/>
      <c r="E39" s="478"/>
      <c r="F39" s="478"/>
      <c r="G39" s="478"/>
      <c r="H39" s="478"/>
      <c r="I39" s="478"/>
      <c r="J39" s="478"/>
    </row>
    <row r="40" spans="1:10" hidden="1">
      <c r="A40" s="471"/>
      <c r="B40" s="131"/>
      <c r="C40" s="131"/>
      <c r="D40" s="474"/>
      <c r="E40" s="473"/>
      <c r="F40" s="473"/>
      <c r="G40" s="473"/>
      <c r="H40" s="473"/>
      <c r="I40" s="473"/>
      <c r="J40" s="473"/>
    </row>
    <row r="41" spans="1:10" ht="20.100000000000001" hidden="1" customHeight="1">
      <c r="A41" s="476" t="s">
        <v>434</v>
      </c>
      <c r="B41" s="477"/>
      <c r="C41" s="827" t="s">
        <v>435</v>
      </c>
      <c r="D41" s="828"/>
      <c r="E41" s="478"/>
      <c r="F41" s="478"/>
      <c r="G41" s="478"/>
      <c r="H41" s="478"/>
      <c r="I41" s="478"/>
      <c r="J41" s="478"/>
    </row>
    <row r="42" spans="1:10" hidden="1">
      <c r="A42" s="471"/>
      <c r="B42" s="131"/>
      <c r="C42" s="131"/>
      <c r="D42" s="474"/>
      <c r="E42" s="473"/>
      <c r="F42" s="473"/>
      <c r="G42" s="473"/>
      <c r="H42" s="473"/>
      <c r="I42" s="473"/>
      <c r="J42" s="473"/>
    </row>
    <row r="43" spans="1:10" ht="20.100000000000001" hidden="1" customHeight="1">
      <c r="A43" s="476" t="s">
        <v>436</v>
      </c>
      <c r="B43" s="477" t="s">
        <v>780</v>
      </c>
      <c r="C43" s="827" t="s">
        <v>437</v>
      </c>
      <c r="D43" s="828"/>
      <c r="E43" s="478"/>
      <c r="F43" s="478"/>
      <c r="G43" s="478"/>
      <c r="H43" s="478"/>
      <c r="I43" s="478"/>
      <c r="J43" s="478"/>
    </row>
    <row r="44" spans="1:10" hidden="1">
      <c r="A44" s="471"/>
      <c r="B44" s="131"/>
      <c r="C44" s="131"/>
      <c r="D44" s="474"/>
      <c r="E44" s="473"/>
      <c r="F44" s="473"/>
      <c r="G44" s="473"/>
      <c r="H44" s="473"/>
      <c r="I44" s="473"/>
      <c r="J44" s="473"/>
    </row>
    <row r="45" spans="1:10" ht="20.100000000000001" hidden="1" customHeight="1">
      <c r="A45" s="476" t="s">
        <v>438</v>
      </c>
      <c r="B45" s="477"/>
      <c r="C45" s="827" t="s">
        <v>439</v>
      </c>
      <c r="D45" s="828"/>
      <c r="E45" s="478"/>
      <c r="F45" s="478"/>
      <c r="G45" s="478"/>
      <c r="H45" s="478"/>
      <c r="I45" s="478"/>
      <c r="J45" s="478"/>
    </row>
    <row r="46" spans="1:10" hidden="1">
      <c r="A46" s="471"/>
      <c r="B46" s="131"/>
      <c r="C46" s="131"/>
      <c r="D46" s="612"/>
      <c r="E46" s="473"/>
      <c r="F46" s="473"/>
      <c r="G46" s="473"/>
      <c r="H46" s="473"/>
      <c r="I46" s="473"/>
      <c r="J46" s="473"/>
    </row>
    <row r="47" spans="1:10" ht="20.100000000000001" customHeight="1">
      <c r="A47" s="465" t="s">
        <v>192</v>
      </c>
      <c r="B47" s="466" t="s">
        <v>192</v>
      </c>
      <c r="C47" s="813" t="s">
        <v>440</v>
      </c>
      <c r="D47" s="814"/>
      <c r="E47" s="475">
        <f t="shared" ref="E47:J47" si="8">E49+E51+E53</f>
        <v>3250000</v>
      </c>
      <c r="F47" s="475">
        <f t="shared" si="8"/>
        <v>600000</v>
      </c>
      <c r="G47" s="475">
        <f t="shared" si="8"/>
        <v>620000</v>
      </c>
      <c r="H47" s="475">
        <f t="shared" si="8"/>
        <v>650000</v>
      </c>
      <c r="I47" s="475">
        <f t="shared" si="8"/>
        <v>680000</v>
      </c>
      <c r="J47" s="475">
        <f t="shared" si="8"/>
        <v>700000</v>
      </c>
    </row>
    <row r="48" spans="1:10" ht="20.100000000000001" customHeight="1">
      <c r="A48" s="465" t="s">
        <v>193</v>
      </c>
      <c r="B48" s="466" t="s">
        <v>417</v>
      </c>
      <c r="C48" s="813" t="s">
        <v>195</v>
      </c>
      <c r="D48" s="814"/>
      <c r="E48" s="467"/>
      <c r="F48" s="467"/>
      <c r="G48" s="467"/>
      <c r="H48" s="467"/>
      <c r="I48" s="467"/>
      <c r="J48" s="467"/>
    </row>
    <row r="49" spans="1:10" ht="30" customHeight="1">
      <c r="A49" s="476" t="s">
        <v>441</v>
      </c>
      <c r="B49" s="477" t="s">
        <v>644</v>
      </c>
      <c r="C49" s="827" t="s">
        <v>442</v>
      </c>
      <c r="D49" s="828"/>
      <c r="E49" s="478">
        <f>E50</f>
        <v>3250000</v>
      </c>
      <c r="F49" s="478">
        <f t="shared" ref="F49:J49" si="9">F50</f>
        <v>600000</v>
      </c>
      <c r="G49" s="478">
        <f t="shared" si="9"/>
        <v>620000</v>
      </c>
      <c r="H49" s="478">
        <f t="shared" si="9"/>
        <v>650000</v>
      </c>
      <c r="I49" s="478">
        <f t="shared" si="9"/>
        <v>680000</v>
      </c>
      <c r="J49" s="478">
        <f t="shared" si="9"/>
        <v>700000</v>
      </c>
    </row>
    <row r="50" spans="1:10" ht="33" hidden="1" customHeight="1">
      <c r="A50" s="471"/>
      <c r="B50" s="131"/>
      <c r="C50" s="735" t="s">
        <v>443</v>
      </c>
      <c r="D50" s="750" t="s">
        <v>655</v>
      </c>
      <c r="E50" s="731">
        <f>SUM(F50:J50)</f>
        <v>3250000</v>
      </c>
      <c r="F50" s="731">
        <v>600000</v>
      </c>
      <c r="G50" s="731">
        <v>620000</v>
      </c>
      <c r="H50" s="731">
        <v>650000</v>
      </c>
      <c r="I50" s="731">
        <v>680000</v>
      </c>
      <c r="J50" s="731">
        <v>700000</v>
      </c>
    </row>
    <row r="51" spans="1:10" ht="20.100000000000001" hidden="1" customHeight="1">
      <c r="A51" s="476" t="s">
        <v>444</v>
      </c>
      <c r="B51" s="477"/>
      <c r="C51" s="827" t="s">
        <v>445</v>
      </c>
      <c r="D51" s="828"/>
      <c r="E51" s="478">
        <f>E52</f>
        <v>0</v>
      </c>
      <c r="F51" s="478">
        <f t="shared" ref="F51:J51" si="10">F52</f>
        <v>0</v>
      </c>
      <c r="G51" s="478">
        <f t="shared" si="10"/>
        <v>0</v>
      </c>
      <c r="H51" s="478">
        <f t="shared" si="10"/>
        <v>0</v>
      </c>
      <c r="I51" s="478">
        <f t="shared" si="10"/>
        <v>0</v>
      </c>
      <c r="J51" s="478">
        <f t="shared" si="10"/>
        <v>0</v>
      </c>
    </row>
    <row r="52" spans="1:10" hidden="1">
      <c r="A52" s="471"/>
      <c r="B52" s="131"/>
      <c r="C52" s="555" t="s">
        <v>446</v>
      </c>
      <c r="D52" s="556" t="s">
        <v>447</v>
      </c>
      <c r="E52" s="480">
        <f>SUM(F52:J52)</f>
        <v>0</v>
      </c>
      <c r="F52" s="480">
        <v>0</v>
      </c>
      <c r="G52" s="480">
        <v>0</v>
      </c>
      <c r="H52" s="480">
        <v>0</v>
      </c>
      <c r="I52" s="480">
        <v>0</v>
      </c>
      <c r="J52" s="480">
        <v>0</v>
      </c>
    </row>
    <row r="53" spans="1:10" ht="20.100000000000001" hidden="1" customHeight="1">
      <c r="A53" s="476" t="s">
        <v>448</v>
      </c>
      <c r="B53" s="477"/>
      <c r="C53" s="827" t="s">
        <v>449</v>
      </c>
      <c r="D53" s="828"/>
      <c r="E53" s="478">
        <f>E54</f>
        <v>0</v>
      </c>
      <c r="F53" s="478">
        <f>F54</f>
        <v>0</v>
      </c>
      <c r="G53" s="478">
        <f t="shared" ref="G53:J53" si="11">G54</f>
        <v>0</v>
      </c>
      <c r="H53" s="478">
        <f t="shared" si="11"/>
        <v>0</v>
      </c>
      <c r="I53" s="478">
        <f t="shared" si="11"/>
        <v>0</v>
      </c>
      <c r="J53" s="478">
        <f t="shared" si="11"/>
        <v>0</v>
      </c>
    </row>
    <row r="54" spans="1:10" hidden="1">
      <c r="A54" s="471"/>
      <c r="B54" s="131"/>
      <c r="C54" s="131"/>
      <c r="D54" s="131"/>
      <c r="E54" s="131"/>
      <c r="F54" s="131"/>
      <c r="G54" s="131"/>
      <c r="H54" s="131"/>
      <c r="I54" s="131"/>
      <c r="J54" s="131"/>
    </row>
    <row r="55" spans="1:10" ht="20.100000000000001" customHeight="1">
      <c r="A55" s="465" t="s">
        <v>192</v>
      </c>
      <c r="B55" s="466" t="s">
        <v>192</v>
      </c>
      <c r="C55" s="813" t="s">
        <v>287</v>
      </c>
      <c r="D55" s="814"/>
      <c r="E55" s="467"/>
      <c r="F55" s="467"/>
      <c r="G55" s="467"/>
      <c r="H55" s="467"/>
      <c r="I55" s="467"/>
      <c r="J55" s="467"/>
    </row>
    <row r="56" spans="1:10" ht="20.100000000000001" customHeight="1">
      <c r="A56" s="465" t="s">
        <v>193</v>
      </c>
      <c r="B56" s="466" t="s">
        <v>417</v>
      </c>
      <c r="C56" s="813" t="s">
        <v>195</v>
      </c>
      <c r="D56" s="814"/>
      <c r="E56" s="467"/>
      <c r="F56" s="467"/>
      <c r="G56" s="467"/>
      <c r="H56" s="467"/>
      <c r="I56" s="467"/>
      <c r="J56" s="467"/>
    </row>
    <row r="57" spans="1:10" ht="30" customHeight="1">
      <c r="A57" s="476" t="s">
        <v>200</v>
      </c>
      <c r="B57" s="477" t="s">
        <v>307</v>
      </c>
      <c r="C57" s="827" t="s">
        <v>295</v>
      </c>
      <c r="D57" s="828"/>
      <c r="E57" s="478">
        <f>E58</f>
        <v>150000</v>
      </c>
      <c r="F57" s="478">
        <f t="shared" ref="F57:J57" si="12">F58</f>
        <v>70000</v>
      </c>
      <c r="G57" s="478">
        <f t="shared" si="12"/>
        <v>0</v>
      </c>
      <c r="H57" s="478">
        <f t="shared" si="12"/>
        <v>80000</v>
      </c>
      <c r="I57" s="478">
        <f t="shared" si="12"/>
        <v>0</v>
      </c>
      <c r="J57" s="478">
        <f t="shared" si="12"/>
        <v>0</v>
      </c>
    </row>
    <row r="58" spans="1:10" ht="20.100000000000001" hidden="1" customHeight="1">
      <c r="A58" s="500"/>
      <c r="B58" s="501"/>
      <c r="C58" s="555" t="s">
        <v>318</v>
      </c>
      <c r="D58" s="748" t="s">
        <v>657</v>
      </c>
      <c r="E58" s="749">
        <f>SUM(F58:J58)</f>
        <v>150000</v>
      </c>
      <c r="F58" s="749">
        <v>70000</v>
      </c>
      <c r="G58" s="749">
        <v>0</v>
      </c>
      <c r="H58" s="749">
        <v>80000</v>
      </c>
      <c r="I58" s="749">
        <v>0</v>
      </c>
      <c r="J58" s="749">
        <v>0</v>
      </c>
    </row>
    <row r="59" spans="1:10" ht="20.100000000000001" hidden="1" customHeight="1">
      <c r="A59" s="476" t="s">
        <v>201</v>
      </c>
      <c r="B59" s="477"/>
      <c r="C59" s="827" t="s">
        <v>450</v>
      </c>
      <c r="D59" s="828"/>
      <c r="E59" s="478"/>
      <c r="F59" s="478"/>
      <c r="G59" s="478"/>
      <c r="H59" s="478"/>
      <c r="I59" s="478"/>
      <c r="J59" s="478"/>
    </row>
    <row r="60" spans="1:10" hidden="1">
      <c r="A60" s="481"/>
      <c r="B60" s="482"/>
      <c r="C60" s="482"/>
      <c r="D60" s="613"/>
      <c r="E60" s="473"/>
      <c r="F60" s="473"/>
      <c r="G60" s="473"/>
      <c r="H60" s="473"/>
      <c r="I60" s="473"/>
      <c r="J60" s="473"/>
    </row>
    <row r="61" spans="1:10" hidden="1">
      <c r="A61" s="465" t="s">
        <v>192</v>
      </c>
      <c r="B61" s="466" t="s">
        <v>192</v>
      </c>
      <c r="C61" s="813" t="s">
        <v>451</v>
      </c>
      <c r="D61" s="814"/>
      <c r="E61" s="467"/>
      <c r="F61" s="467"/>
      <c r="G61" s="467"/>
      <c r="H61" s="467"/>
      <c r="I61" s="467"/>
      <c r="J61" s="467"/>
    </row>
    <row r="62" spans="1:10" hidden="1">
      <c r="A62" s="465" t="s">
        <v>193</v>
      </c>
      <c r="B62" s="466" t="s">
        <v>417</v>
      </c>
      <c r="C62" s="813" t="s">
        <v>195</v>
      </c>
      <c r="D62" s="814"/>
      <c r="E62" s="467"/>
      <c r="F62" s="467"/>
      <c r="G62" s="467"/>
      <c r="H62" s="467"/>
      <c r="I62" s="467"/>
      <c r="J62" s="467"/>
    </row>
    <row r="63" spans="1:10" ht="20.100000000000001" hidden="1" customHeight="1">
      <c r="A63" s="476" t="s">
        <v>452</v>
      </c>
      <c r="B63" s="477" t="s">
        <v>781</v>
      </c>
      <c r="C63" s="827" t="s">
        <v>453</v>
      </c>
      <c r="D63" s="828"/>
      <c r="E63" s="478"/>
      <c r="F63" s="478"/>
      <c r="G63" s="478"/>
      <c r="H63" s="478"/>
      <c r="I63" s="478"/>
      <c r="J63" s="478"/>
    </row>
    <row r="64" spans="1:10" hidden="1">
      <c r="A64" s="471"/>
      <c r="B64" s="131"/>
      <c r="C64" s="131"/>
      <c r="D64" s="612"/>
      <c r="E64" s="473"/>
      <c r="F64" s="473"/>
      <c r="G64" s="473"/>
      <c r="H64" s="473"/>
      <c r="I64" s="473"/>
      <c r="J64" s="473"/>
    </row>
    <row r="65" spans="1:10" hidden="1">
      <c r="A65" s="465" t="s">
        <v>192</v>
      </c>
      <c r="B65" s="466" t="s">
        <v>192</v>
      </c>
      <c r="C65" s="813" t="s">
        <v>454</v>
      </c>
      <c r="D65" s="814"/>
      <c r="E65" s="467"/>
      <c r="F65" s="467"/>
      <c r="G65" s="467"/>
      <c r="H65" s="467"/>
      <c r="I65" s="467"/>
      <c r="J65" s="467"/>
    </row>
    <row r="66" spans="1:10" hidden="1">
      <c r="A66" s="465" t="s">
        <v>193</v>
      </c>
      <c r="B66" s="466" t="s">
        <v>417</v>
      </c>
      <c r="C66" s="813" t="s">
        <v>195</v>
      </c>
      <c r="D66" s="814"/>
      <c r="E66" s="467"/>
      <c r="F66" s="467"/>
      <c r="G66" s="467"/>
      <c r="H66" s="467"/>
      <c r="I66" s="467"/>
      <c r="J66" s="467"/>
    </row>
    <row r="67" spans="1:10" ht="20.100000000000001" hidden="1" customHeight="1">
      <c r="A67" s="476" t="s">
        <v>455</v>
      </c>
      <c r="B67" s="477" t="s">
        <v>782</v>
      </c>
      <c r="C67" s="827" t="s">
        <v>456</v>
      </c>
      <c r="D67" s="828"/>
      <c r="E67" s="478"/>
      <c r="F67" s="478"/>
      <c r="G67" s="478"/>
      <c r="H67" s="478"/>
      <c r="I67" s="478"/>
      <c r="J67" s="478"/>
    </row>
    <row r="68" spans="1:10" hidden="1">
      <c r="A68" s="471"/>
      <c r="B68" s="131"/>
      <c r="C68" s="131"/>
      <c r="D68" s="474"/>
      <c r="E68" s="473"/>
      <c r="F68" s="473"/>
      <c r="G68" s="473"/>
      <c r="H68" s="473"/>
      <c r="I68" s="473"/>
      <c r="J68" s="473"/>
    </row>
    <row r="69" spans="1:10" ht="20.100000000000001" hidden="1" customHeight="1">
      <c r="A69" s="476" t="s">
        <v>457</v>
      </c>
      <c r="B69" s="477"/>
      <c r="C69" s="827" t="s">
        <v>458</v>
      </c>
      <c r="D69" s="828"/>
      <c r="E69" s="478"/>
      <c r="F69" s="478"/>
      <c r="G69" s="478"/>
      <c r="H69" s="478"/>
      <c r="I69" s="478"/>
      <c r="J69" s="478"/>
    </row>
    <row r="70" spans="1:10" hidden="1">
      <c r="A70" s="471"/>
      <c r="B70" s="131"/>
      <c r="C70" s="131"/>
      <c r="D70" s="474"/>
      <c r="E70" s="473"/>
      <c r="F70" s="473"/>
      <c r="G70" s="473"/>
      <c r="H70" s="473"/>
      <c r="I70" s="473"/>
      <c r="J70" s="473"/>
    </row>
    <row r="71" spans="1:10" ht="20.100000000000001" hidden="1" customHeight="1">
      <c r="A71" s="476" t="s">
        <v>459</v>
      </c>
      <c r="B71" s="477"/>
      <c r="C71" s="827" t="s">
        <v>460</v>
      </c>
      <c r="D71" s="828"/>
      <c r="E71" s="478"/>
      <c r="F71" s="478"/>
      <c r="G71" s="478"/>
      <c r="H71" s="478"/>
      <c r="I71" s="478"/>
      <c r="J71" s="478"/>
    </row>
    <row r="72" spans="1:10" hidden="1">
      <c r="A72" s="471"/>
      <c r="B72" s="131"/>
      <c r="C72" s="131"/>
      <c r="D72" s="474"/>
      <c r="E72" s="473"/>
      <c r="F72" s="473"/>
      <c r="G72" s="473"/>
      <c r="H72" s="473"/>
      <c r="I72" s="473"/>
      <c r="J72" s="473"/>
    </row>
    <row r="73" spans="1:10" ht="20.100000000000001" hidden="1" customHeight="1">
      <c r="A73" s="476" t="s">
        <v>461</v>
      </c>
      <c r="B73" s="477"/>
      <c r="C73" s="827" t="s">
        <v>462</v>
      </c>
      <c r="D73" s="828"/>
      <c r="E73" s="478"/>
      <c r="F73" s="478"/>
      <c r="G73" s="478"/>
      <c r="H73" s="478"/>
      <c r="I73" s="478"/>
      <c r="J73" s="478"/>
    </row>
    <row r="74" spans="1:10" hidden="1">
      <c r="A74" s="471"/>
      <c r="B74" s="131"/>
      <c r="C74" s="131"/>
      <c r="D74" s="474"/>
      <c r="E74" s="473"/>
      <c r="F74" s="473"/>
      <c r="G74" s="473"/>
      <c r="H74" s="473"/>
      <c r="I74" s="473"/>
      <c r="J74" s="473"/>
    </row>
    <row r="75" spans="1:10" ht="30" hidden="1" customHeight="1">
      <c r="A75" s="476" t="s">
        <v>463</v>
      </c>
      <c r="B75" s="477"/>
      <c r="C75" s="827" t="s">
        <v>464</v>
      </c>
      <c r="D75" s="828"/>
      <c r="E75" s="478"/>
      <c r="F75" s="478"/>
      <c r="G75" s="478"/>
      <c r="H75" s="478"/>
      <c r="I75" s="478"/>
      <c r="J75" s="478"/>
    </row>
    <row r="76" spans="1:10" hidden="1">
      <c r="A76" s="471"/>
      <c r="B76" s="131"/>
      <c r="C76" s="131"/>
      <c r="D76" s="472"/>
      <c r="E76" s="473"/>
      <c r="F76" s="473"/>
      <c r="G76" s="473"/>
      <c r="H76" s="473"/>
      <c r="I76" s="473"/>
      <c r="J76" s="473"/>
    </row>
    <row r="77" spans="1:10" ht="20.100000000000001" hidden="1" customHeight="1">
      <c r="A77" s="476" t="s">
        <v>465</v>
      </c>
      <c r="B77" s="477"/>
      <c r="C77" s="827" t="s">
        <v>466</v>
      </c>
      <c r="D77" s="828"/>
      <c r="E77" s="478"/>
      <c r="F77" s="478"/>
      <c r="G77" s="478"/>
      <c r="H77" s="478"/>
      <c r="I77" s="478"/>
      <c r="J77" s="478"/>
    </row>
    <row r="78" spans="1:10" ht="15" hidden="1" customHeight="1">
      <c r="A78" s="471"/>
      <c r="B78" s="131"/>
      <c r="C78" s="614"/>
      <c r="D78" s="612"/>
      <c r="E78" s="473"/>
      <c r="F78" s="473"/>
      <c r="G78" s="473"/>
      <c r="H78" s="473"/>
      <c r="I78" s="473"/>
      <c r="J78" s="473"/>
    </row>
    <row r="79" spans="1:10" hidden="1">
      <c r="A79" s="483" t="s">
        <v>190</v>
      </c>
      <c r="B79" s="833" t="s">
        <v>191</v>
      </c>
      <c r="C79" s="834"/>
      <c r="D79" s="834"/>
      <c r="E79" s="484"/>
      <c r="F79" s="484"/>
      <c r="G79" s="484"/>
      <c r="H79" s="484"/>
      <c r="I79" s="484"/>
      <c r="J79" s="484"/>
    </row>
    <row r="80" spans="1:10" ht="20.100000000000001" hidden="1" customHeight="1">
      <c r="A80" s="463" t="s">
        <v>190</v>
      </c>
      <c r="B80" s="823" t="s">
        <v>191</v>
      </c>
      <c r="C80" s="824"/>
      <c r="D80" s="824"/>
      <c r="E80" s="464"/>
      <c r="F80" s="464"/>
      <c r="G80" s="464"/>
      <c r="H80" s="464"/>
      <c r="I80" s="464"/>
      <c r="J80" s="464"/>
    </row>
    <row r="81" spans="1:10" ht="20.100000000000001" customHeight="1">
      <c r="A81" s="465" t="s">
        <v>192</v>
      </c>
      <c r="B81" s="466" t="s">
        <v>192</v>
      </c>
      <c r="C81" s="813" t="s">
        <v>467</v>
      </c>
      <c r="D81" s="814"/>
      <c r="E81" s="475">
        <f>E83+E85+E87+E89+E95</f>
        <v>52070000</v>
      </c>
      <c r="F81" s="475">
        <f t="shared" ref="F81:J81" si="13">F83+F85+F87+F89+F95</f>
        <v>4870000</v>
      </c>
      <c r="G81" s="475">
        <f t="shared" si="13"/>
        <v>2490000</v>
      </c>
      <c r="H81" s="475">
        <f t="shared" si="13"/>
        <v>39450000</v>
      </c>
      <c r="I81" s="475">
        <f t="shared" si="13"/>
        <v>2570000</v>
      </c>
      <c r="J81" s="475">
        <f t="shared" si="13"/>
        <v>2690000</v>
      </c>
    </row>
    <row r="82" spans="1:10" ht="20.100000000000001" customHeight="1">
      <c r="A82" s="465" t="s">
        <v>193</v>
      </c>
      <c r="B82" s="466" t="s">
        <v>417</v>
      </c>
      <c r="C82" s="813" t="s">
        <v>195</v>
      </c>
      <c r="D82" s="814"/>
      <c r="E82" s="467"/>
      <c r="F82" s="467"/>
      <c r="G82" s="467"/>
      <c r="H82" s="467"/>
      <c r="I82" s="467"/>
      <c r="J82" s="467"/>
    </row>
    <row r="83" spans="1:10" ht="30" customHeight="1">
      <c r="A83" s="476" t="s">
        <v>468</v>
      </c>
      <c r="B83" s="477" t="s">
        <v>933</v>
      </c>
      <c r="C83" s="829" t="s">
        <v>469</v>
      </c>
      <c r="D83" s="830"/>
      <c r="E83" s="478">
        <f>E84</f>
        <v>2000000</v>
      </c>
      <c r="F83" s="478">
        <f t="shared" ref="F83:J83" si="14">F84</f>
        <v>1000000</v>
      </c>
      <c r="G83" s="478">
        <f t="shared" si="14"/>
        <v>1000000</v>
      </c>
      <c r="H83" s="478">
        <f t="shared" si="14"/>
        <v>0</v>
      </c>
      <c r="I83" s="478">
        <f t="shared" si="14"/>
        <v>0</v>
      </c>
      <c r="J83" s="478">
        <f t="shared" si="14"/>
        <v>0</v>
      </c>
    </row>
    <row r="84" spans="1:10" ht="20.100000000000001" hidden="1" customHeight="1">
      <c r="A84" s="500"/>
      <c r="B84" s="501"/>
      <c r="C84" s="555" t="s">
        <v>954</v>
      </c>
      <c r="D84" s="748" t="s">
        <v>955</v>
      </c>
      <c r="E84" s="749">
        <f>SUM(F84:J84)</f>
        <v>2000000</v>
      </c>
      <c r="F84" s="749">
        <v>1000000</v>
      </c>
      <c r="G84" s="749">
        <v>1000000</v>
      </c>
      <c r="H84" s="749">
        <v>0</v>
      </c>
      <c r="I84" s="749">
        <v>0</v>
      </c>
      <c r="J84" s="749">
        <v>0</v>
      </c>
    </row>
    <row r="85" spans="1:10" ht="20.100000000000001" customHeight="1">
      <c r="A85" s="476" t="s">
        <v>470</v>
      </c>
      <c r="B85" s="477"/>
      <c r="C85" s="829" t="s">
        <v>471</v>
      </c>
      <c r="D85" s="830"/>
      <c r="E85" s="478">
        <f>E86</f>
        <v>3450000</v>
      </c>
      <c r="F85" s="478">
        <f t="shared" ref="F85:J85" si="15">F86</f>
        <v>0</v>
      </c>
      <c r="G85" s="478">
        <f t="shared" si="15"/>
        <v>950000</v>
      </c>
      <c r="H85" s="478">
        <f t="shared" si="15"/>
        <v>900000</v>
      </c>
      <c r="I85" s="478">
        <f t="shared" si="15"/>
        <v>800000</v>
      </c>
      <c r="J85" s="478">
        <f t="shared" si="15"/>
        <v>800000</v>
      </c>
    </row>
    <row r="86" spans="1:10" ht="20.100000000000001" hidden="1" customHeight="1">
      <c r="A86" s="500"/>
      <c r="B86" s="501"/>
      <c r="C86" s="555" t="s">
        <v>666</v>
      </c>
      <c r="D86" s="748" t="s">
        <v>668</v>
      </c>
      <c r="E86" s="749">
        <f>SUM(F86:J86)</f>
        <v>3450000</v>
      </c>
      <c r="F86" s="749">
        <f>'Ação 1.8.2 '!D26</f>
        <v>0</v>
      </c>
      <c r="G86" s="749">
        <v>950000</v>
      </c>
      <c r="H86" s="749">
        <v>900000</v>
      </c>
      <c r="I86" s="749">
        <v>800000</v>
      </c>
      <c r="J86" s="749">
        <v>800000</v>
      </c>
    </row>
    <row r="87" spans="1:10" ht="30" hidden="1" customHeight="1">
      <c r="A87" s="476" t="s">
        <v>472</v>
      </c>
      <c r="B87" s="477"/>
      <c r="C87" s="829" t="s">
        <v>473</v>
      </c>
      <c r="D87" s="830"/>
      <c r="E87" s="478"/>
      <c r="F87" s="478"/>
      <c r="G87" s="478"/>
      <c r="H87" s="478"/>
      <c r="I87" s="478"/>
      <c r="J87" s="478"/>
    </row>
    <row r="88" spans="1:10" hidden="1">
      <c r="A88" s="471"/>
      <c r="B88" s="131"/>
      <c r="C88" s="487"/>
      <c r="D88" s="488"/>
      <c r="E88" s="473"/>
      <c r="F88" s="473"/>
      <c r="G88" s="473"/>
      <c r="H88" s="473"/>
      <c r="I88" s="473"/>
      <c r="J88" s="473"/>
    </row>
    <row r="89" spans="1:10" ht="30" customHeight="1">
      <c r="A89" s="476" t="s">
        <v>474</v>
      </c>
      <c r="B89" s="477" t="s">
        <v>783</v>
      </c>
      <c r="C89" s="829" t="s">
        <v>475</v>
      </c>
      <c r="D89" s="830"/>
      <c r="E89" s="478">
        <f t="shared" ref="E89:J89" si="16">SUM(E90:E94)</f>
        <v>46620000</v>
      </c>
      <c r="F89" s="478">
        <f t="shared" si="16"/>
        <v>3870000</v>
      </c>
      <c r="G89" s="478">
        <f t="shared" si="16"/>
        <v>540000</v>
      </c>
      <c r="H89" s="478">
        <f t="shared" si="16"/>
        <v>38550000</v>
      </c>
      <c r="I89" s="478">
        <f t="shared" si="16"/>
        <v>1770000</v>
      </c>
      <c r="J89" s="478">
        <f t="shared" si="16"/>
        <v>1890000</v>
      </c>
    </row>
    <row r="90" spans="1:10" ht="45" hidden="1">
      <c r="A90" s="471"/>
      <c r="B90" s="131"/>
      <c r="C90" s="555" t="s">
        <v>476</v>
      </c>
      <c r="D90" s="733" t="s">
        <v>956</v>
      </c>
      <c r="E90" s="749">
        <f>SUM(F90:J90)</f>
        <v>3500000</v>
      </c>
      <c r="F90" s="749">
        <v>3500000</v>
      </c>
      <c r="G90" s="749">
        <f>'Ação 1.8.4  1 '!F26</f>
        <v>0</v>
      </c>
      <c r="H90" s="749">
        <f>'Ação 1.8.4  1 '!I26</f>
        <v>0</v>
      </c>
      <c r="I90" s="749">
        <f>'Ação 1.8.4  1 '!J26</f>
        <v>0</v>
      </c>
      <c r="J90" s="749">
        <f>'Ação 1.8.4  1 '!L26</f>
        <v>0</v>
      </c>
    </row>
    <row r="91" spans="1:10" ht="20.100000000000001" hidden="1" customHeight="1">
      <c r="A91" s="500"/>
      <c r="B91" s="501"/>
      <c r="C91" s="555" t="s">
        <v>477</v>
      </c>
      <c r="D91" s="748" t="s">
        <v>698</v>
      </c>
      <c r="E91" s="749">
        <f>SUM(F91:J91)</f>
        <v>38000000</v>
      </c>
      <c r="F91" s="749">
        <f>'Ação 1.8.4   2'!D26</f>
        <v>0</v>
      </c>
      <c r="G91" s="749">
        <f>'Ação 1.8.4   2'!F26</f>
        <v>0</v>
      </c>
      <c r="H91" s="749">
        <v>38000000</v>
      </c>
      <c r="I91" s="749">
        <f>'Ação 1.8.4   2'!J26</f>
        <v>0</v>
      </c>
      <c r="J91" s="749">
        <f>'Ação 1.8.4   2'!L26</f>
        <v>0</v>
      </c>
    </row>
    <row r="92" spans="1:10" ht="20.100000000000001" hidden="1" customHeight="1">
      <c r="A92" s="500"/>
      <c r="B92" s="501"/>
      <c r="C92" s="555" t="s">
        <v>478</v>
      </c>
      <c r="D92" s="748" t="s">
        <v>703</v>
      </c>
      <c r="E92" s="749">
        <f>SUM(F92:J92)</f>
        <v>2020000</v>
      </c>
      <c r="F92" s="749">
        <v>370000</v>
      </c>
      <c r="G92" s="749">
        <v>390000</v>
      </c>
      <c r="H92" s="749">
        <v>400000</v>
      </c>
      <c r="I92" s="749">
        <v>420000</v>
      </c>
      <c r="J92" s="749">
        <v>440000</v>
      </c>
    </row>
    <row r="93" spans="1:10" ht="20.100000000000001" hidden="1" customHeight="1">
      <c r="A93" s="500"/>
      <c r="B93" s="501"/>
      <c r="C93" s="555" t="s">
        <v>683</v>
      </c>
      <c r="D93" s="748" t="s">
        <v>793</v>
      </c>
      <c r="E93" s="749">
        <f>SUM(F93:J93)</f>
        <v>600000</v>
      </c>
      <c r="F93" s="749">
        <v>0</v>
      </c>
      <c r="G93" s="749">
        <v>150000</v>
      </c>
      <c r="H93" s="749">
        <v>150000</v>
      </c>
      <c r="I93" s="749">
        <v>150000</v>
      </c>
      <c r="J93" s="749">
        <v>150000</v>
      </c>
    </row>
    <row r="94" spans="1:10" ht="20.100000000000001" hidden="1" customHeight="1">
      <c r="A94" s="500"/>
      <c r="B94" s="501"/>
      <c r="C94" s="555" t="s">
        <v>792</v>
      </c>
      <c r="D94" s="748" t="s">
        <v>684</v>
      </c>
      <c r="E94" s="749">
        <f>SUM(F94:J94)</f>
        <v>2500000</v>
      </c>
      <c r="F94" s="749">
        <f>'Ação 1.8.4   5'!D26</f>
        <v>0</v>
      </c>
      <c r="G94" s="749">
        <f>'Ação 1.8.4   5'!F26</f>
        <v>0</v>
      </c>
      <c r="H94" s="749">
        <f>'Ação 1.8.4   5'!H26</f>
        <v>0</v>
      </c>
      <c r="I94" s="749">
        <v>1200000</v>
      </c>
      <c r="J94" s="749">
        <v>1300000</v>
      </c>
    </row>
    <row r="95" spans="1:10" ht="15" hidden="1" customHeight="1">
      <c r="A95" s="476" t="s">
        <v>480</v>
      </c>
      <c r="B95" s="477"/>
      <c r="C95" s="831" t="s">
        <v>481</v>
      </c>
      <c r="D95" s="832"/>
      <c r="E95" s="478"/>
      <c r="F95" s="478"/>
      <c r="G95" s="478"/>
      <c r="H95" s="478"/>
      <c r="I95" s="478"/>
      <c r="J95" s="478"/>
    </row>
    <row r="96" spans="1:10" hidden="1">
      <c r="A96" s="471"/>
      <c r="B96" s="131"/>
      <c r="C96" s="134"/>
      <c r="D96" s="489"/>
      <c r="E96" s="473"/>
      <c r="F96" s="473"/>
      <c r="G96" s="473"/>
      <c r="H96" s="473"/>
      <c r="I96" s="473"/>
      <c r="J96" s="473"/>
    </row>
    <row r="97" spans="1:10" hidden="1">
      <c r="A97" s="465" t="s">
        <v>192</v>
      </c>
      <c r="B97" s="466" t="s">
        <v>192</v>
      </c>
      <c r="C97" s="815" t="s">
        <v>482</v>
      </c>
      <c r="D97" s="816"/>
      <c r="E97" s="475">
        <f>E99+E101+E103</f>
        <v>0</v>
      </c>
      <c r="F97" s="475">
        <f t="shared" ref="F97:J97" si="17">F99+F101+F103</f>
        <v>0</v>
      </c>
      <c r="G97" s="475">
        <f t="shared" si="17"/>
        <v>0</v>
      </c>
      <c r="H97" s="475">
        <f t="shared" si="17"/>
        <v>0</v>
      </c>
      <c r="I97" s="475">
        <f t="shared" si="17"/>
        <v>0</v>
      </c>
      <c r="J97" s="475">
        <f t="shared" si="17"/>
        <v>0</v>
      </c>
    </row>
    <row r="98" spans="1:10" hidden="1">
      <c r="A98" s="465" t="s">
        <v>193</v>
      </c>
      <c r="B98" s="466" t="s">
        <v>417</v>
      </c>
      <c r="C98" s="813" t="s">
        <v>195</v>
      </c>
      <c r="D98" s="814"/>
      <c r="E98" s="467"/>
      <c r="F98" s="467"/>
      <c r="G98" s="467"/>
      <c r="H98" s="467"/>
      <c r="I98" s="467"/>
      <c r="J98" s="467"/>
    </row>
    <row r="99" spans="1:10" ht="30" hidden="1" customHeight="1">
      <c r="A99" s="476" t="s">
        <v>483</v>
      </c>
      <c r="B99" s="477"/>
      <c r="C99" s="829" t="s">
        <v>484</v>
      </c>
      <c r="D99" s="830"/>
      <c r="E99" s="486"/>
      <c r="F99" s="486"/>
      <c r="G99" s="486"/>
      <c r="H99" s="486"/>
      <c r="I99" s="486"/>
      <c r="J99" s="486"/>
    </row>
    <row r="100" spans="1:10" hidden="1">
      <c r="A100" s="471"/>
      <c r="B100" s="131"/>
      <c r="C100" s="487"/>
      <c r="D100" s="488"/>
      <c r="E100" s="473"/>
      <c r="F100" s="473"/>
      <c r="G100" s="473"/>
      <c r="H100" s="473"/>
      <c r="I100" s="473"/>
      <c r="J100" s="473"/>
    </row>
    <row r="101" spans="1:10" ht="15" hidden="1" customHeight="1">
      <c r="A101" s="476" t="s">
        <v>485</v>
      </c>
      <c r="B101" s="477"/>
      <c r="C101" s="829" t="s">
        <v>486</v>
      </c>
      <c r="D101" s="830"/>
      <c r="E101" s="486"/>
      <c r="F101" s="486"/>
      <c r="G101" s="486"/>
      <c r="H101" s="486"/>
      <c r="I101" s="486"/>
      <c r="J101" s="486"/>
    </row>
    <row r="102" spans="1:10" hidden="1">
      <c r="A102" s="471"/>
      <c r="B102" s="131"/>
      <c r="C102" s="487"/>
      <c r="D102" s="488"/>
      <c r="E102" s="473"/>
      <c r="F102" s="473"/>
      <c r="G102" s="473"/>
      <c r="H102" s="473"/>
      <c r="I102" s="473"/>
      <c r="J102" s="473"/>
    </row>
    <row r="103" spans="1:10" ht="30" hidden="1" customHeight="1">
      <c r="A103" s="476" t="s">
        <v>487</v>
      </c>
      <c r="B103" s="490"/>
      <c r="C103" s="829" t="s">
        <v>488</v>
      </c>
      <c r="D103" s="830"/>
      <c r="E103" s="486"/>
      <c r="F103" s="486"/>
      <c r="G103" s="486"/>
      <c r="H103" s="486"/>
      <c r="I103" s="486"/>
      <c r="J103" s="486"/>
    </row>
    <row r="104" spans="1:10" hidden="1">
      <c r="A104" s="471"/>
      <c r="B104" s="131"/>
      <c r="C104" s="487"/>
      <c r="D104" s="488"/>
      <c r="E104" s="473"/>
      <c r="F104" s="473"/>
      <c r="G104" s="473"/>
      <c r="H104" s="473"/>
      <c r="I104" s="473"/>
      <c r="J104" s="473"/>
    </row>
    <row r="105" spans="1:10" hidden="1">
      <c r="A105" s="465" t="s">
        <v>192</v>
      </c>
      <c r="B105" s="466" t="s">
        <v>192</v>
      </c>
      <c r="C105" s="813" t="s">
        <v>489</v>
      </c>
      <c r="D105" s="814"/>
      <c r="E105" s="467"/>
      <c r="F105" s="467"/>
      <c r="G105" s="467"/>
      <c r="H105" s="467"/>
      <c r="I105" s="467"/>
      <c r="J105" s="467"/>
    </row>
    <row r="106" spans="1:10" hidden="1">
      <c r="A106" s="465" t="s">
        <v>193</v>
      </c>
      <c r="B106" s="466" t="s">
        <v>417</v>
      </c>
      <c r="C106" s="813" t="s">
        <v>195</v>
      </c>
      <c r="D106" s="814"/>
      <c r="E106" s="467"/>
      <c r="F106" s="467"/>
      <c r="G106" s="467"/>
      <c r="H106" s="467"/>
      <c r="I106" s="467"/>
      <c r="J106" s="467"/>
    </row>
    <row r="107" spans="1:10" ht="30" hidden="1" customHeight="1">
      <c r="A107" s="476" t="s">
        <v>490</v>
      </c>
      <c r="B107" s="490"/>
      <c r="C107" s="829" t="s">
        <v>491</v>
      </c>
      <c r="D107" s="830"/>
      <c r="E107" s="486"/>
      <c r="F107" s="486"/>
      <c r="G107" s="486"/>
      <c r="H107" s="486"/>
      <c r="I107" s="486"/>
      <c r="J107" s="486"/>
    </row>
    <row r="108" spans="1:10" ht="15" hidden="1" customHeight="1">
      <c r="A108" s="471"/>
      <c r="B108" s="131"/>
      <c r="C108" s="131"/>
      <c r="D108" s="474"/>
      <c r="E108" s="473"/>
      <c r="F108" s="473"/>
      <c r="G108" s="473"/>
      <c r="H108" s="473"/>
      <c r="I108" s="473"/>
      <c r="J108" s="473"/>
    </row>
    <row r="109" spans="1:10" ht="30" hidden="1" customHeight="1">
      <c r="A109" s="476" t="s">
        <v>492</v>
      </c>
      <c r="B109" s="490" t="s">
        <v>784</v>
      </c>
      <c r="C109" s="829" t="s">
        <v>493</v>
      </c>
      <c r="D109" s="830"/>
      <c r="E109" s="486"/>
      <c r="F109" s="486"/>
      <c r="G109" s="486"/>
      <c r="H109" s="486"/>
      <c r="I109" s="486"/>
      <c r="J109" s="486"/>
    </row>
    <row r="110" spans="1:10" hidden="1">
      <c r="A110" s="471"/>
      <c r="B110" s="131"/>
      <c r="C110" s="131"/>
      <c r="D110" s="488"/>
      <c r="E110" s="473"/>
      <c r="F110" s="473"/>
      <c r="G110" s="473"/>
      <c r="H110" s="473"/>
      <c r="I110" s="473"/>
      <c r="J110" s="473"/>
    </row>
    <row r="111" spans="1:10" ht="30" hidden="1" customHeight="1">
      <c r="A111" s="476" t="s">
        <v>494</v>
      </c>
      <c r="B111" s="490"/>
      <c r="C111" s="829" t="s">
        <v>495</v>
      </c>
      <c r="D111" s="830"/>
      <c r="E111" s="486"/>
      <c r="F111" s="486"/>
      <c r="G111" s="486"/>
      <c r="H111" s="486"/>
      <c r="I111" s="486"/>
      <c r="J111" s="486"/>
    </row>
    <row r="112" spans="1:10" hidden="1">
      <c r="A112" s="471"/>
      <c r="B112" s="131"/>
      <c r="C112" s="131"/>
      <c r="D112" s="488"/>
      <c r="E112" s="473"/>
      <c r="F112" s="473"/>
      <c r="G112" s="473"/>
      <c r="H112" s="473"/>
      <c r="I112" s="473"/>
      <c r="J112" s="473"/>
    </row>
    <row r="113" spans="1:10" ht="30" hidden="1" customHeight="1">
      <c r="A113" s="476" t="s">
        <v>496</v>
      </c>
      <c r="B113" s="490"/>
      <c r="C113" s="829" t="s">
        <v>497</v>
      </c>
      <c r="D113" s="830"/>
      <c r="E113" s="486"/>
      <c r="F113" s="486"/>
      <c r="G113" s="486"/>
      <c r="H113" s="486"/>
      <c r="I113" s="486"/>
      <c r="J113" s="486"/>
    </row>
    <row r="114" spans="1:10" hidden="1">
      <c r="A114" s="471"/>
      <c r="B114" s="131"/>
      <c r="C114" s="134"/>
      <c r="D114" s="489"/>
      <c r="E114" s="473"/>
      <c r="F114" s="473"/>
      <c r="G114" s="473"/>
      <c r="H114" s="473"/>
      <c r="I114" s="473"/>
      <c r="J114" s="473"/>
    </row>
    <row r="115" spans="1:10">
      <c r="A115" s="465" t="s">
        <v>192</v>
      </c>
      <c r="B115" s="466" t="s">
        <v>192</v>
      </c>
      <c r="C115" s="835" t="s">
        <v>498</v>
      </c>
      <c r="D115" s="836"/>
      <c r="E115" s="475">
        <f t="shared" ref="E115:J115" si="18">E117+E119+E121+E123</f>
        <v>3095000</v>
      </c>
      <c r="F115" s="475">
        <f t="shared" si="18"/>
        <v>485000</v>
      </c>
      <c r="G115" s="475">
        <f t="shared" si="18"/>
        <v>965000</v>
      </c>
      <c r="H115" s="475">
        <f t="shared" si="18"/>
        <v>525000</v>
      </c>
      <c r="I115" s="475">
        <f t="shared" si="18"/>
        <v>550000</v>
      </c>
      <c r="J115" s="475">
        <f t="shared" si="18"/>
        <v>570000</v>
      </c>
    </row>
    <row r="116" spans="1:10">
      <c r="A116" s="465" t="s">
        <v>193</v>
      </c>
      <c r="B116" s="466" t="s">
        <v>417</v>
      </c>
      <c r="C116" s="813" t="s">
        <v>195</v>
      </c>
      <c r="D116" s="814"/>
      <c r="E116" s="467"/>
      <c r="F116" s="467"/>
      <c r="G116" s="467"/>
      <c r="H116" s="467"/>
      <c r="I116" s="467"/>
      <c r="J116" s="467"/>
    </row>
    <row r="117" spans="1:10" ht="20.100000000000001" customHeight="1">
      <c r="A117" s="476" t="s">
        <v>499</v>
      </c>
      <c r="B117" s="477" t="s">
        <v>713</v>
      </c>
      <c r="C117" s="829" t="s">
        <v>500</v>
      </c>
      <c r="D117" s="830"/>
      <c r="E117" s="478">
        <f>E118</f>
        <v>2880000</v>
      </c>
      <c r="F117" s="478">
        <f t="shared" ref="F117:J117" si="19">F118</f>
        <v>460000</v>
      </c>
      <c r="G117" s="478">
        <f t="shared" si="19"/>
        <v>920000</v>
      </c>
      <c r="H117" s="478">
        <f t="shared" si="19"/>
        <v>480000</v>
      </c>
      <c r="I117" s="478">
        <f t="shared" si="19"/>
        <v>500000</v>
      </c>
      <c r="J117" s="478">
        <f t="shared" si="19"/>
        <v>520000</v>
      </c>
    </row>
    <row r="118" spans="1:10" ht="20.100000000000001" hidden="1" customHeight="1">
      <c r="A118" s="500"/>
      <c r="B118" s="501"/>
      <c r="C118" s="555" t="s">
        <v>501</v>
      </c>
      <c r="D118" s="748" t="s">
        <v>502</v>
      </c>
      <c r="E118" s="749">
        <f>SUM(F118:J118)</f>
        <v>2880000</v>
      </c>
      <c r="F118" s="749">
        <v>460000</v>
      </c>
      <c r="G118" s="749">
        <v>920000</v>
      </c>
      <c r="H118" s="749">
        <v>480000</v>
      </c>
      <c r="I118" s="749">
        <v>500000</v>
      </c>
      <c r="J118" s="749">
        <v>520000</v>
      </c>
    </row>
    <row r="119" spans="1:10" ht="20.100000000000001" hidden="1" customHeight="1">
      <c r="A119" s="476" t="s">
        <v>504</v>
      </c>
      <c r="B119" s="477"/>
      <c r="C119" s="829" t="s">
        <v>505</v>
      </c>
      <c r="D119" s="830"/>
      <c r="E119" s="478">
        <f>E120</f>
        <v>0</v>
      </c>
      <c r="F119" s="478">
        <f t="shared" ref="F119:J119" si="20">F120</f>
        <v>0</v>
      </c>
      <c r="G119" s="478">
        <f t="shared" si="20"/>
        <v>0</v>
      </c>
      <c r="H119" s="478">
        <f t="shared" si="20"/>
        <v>0</v>
      </c>
      <c r="I119" s="478">
        <f t="shared" si="20"/>
        <v>0</v>
      </c>
      <c r="J119" s="478">
        <f t="shared" si="20"/>
        <v>0</v>
      </c>
    </row>
    <row r="120" spans="1:10" ht="20.100000000000001" hidden="1" customHeight="1">
      <c r="A120" s="471"/>
      <c r="B120" s="131"/>
      <c r="C120" s="131"/>
      <c r="D120" s="474"/>
      <c r="E120" s="473"/>
      <c r="F120" s="473"/>
      <c r="G120" s="473"/>
      <c r="H120" s="473"/>
      <c r="I120" s="473"/>
      <c r="J120" s="473"/>
    </row>
    <row r="121" spans="1:10" ht="20.100000000000001" hidden="1" customHeight="1">
      <c r="A121" s="476" t="s">
        <v>506</v>
      </c>
      <c r="B121" s="477" t="s">
        <v>785</v>
      </c>
      <c r="C121" s="829" t="s">
        <v>507</v>
      </c>
      <c r="D121" s="830"/>
      <c r="E121" s="478">
        <f>E122</f>
        <v>0</v>
      </c>
      <c r="F121" s="478">
        <f t="shared" ref="F121:J121" si="21">F122</f>
        <v>0</v>
      </c>
      <c r="G121" s="478">
        <f t="shared" si="21"/>
        <v>0</v>
      </c>
      <c r="H121" s="478">
        <f t="shared" si="21"/>
        <v>0</v>
      </c>
      <c r="I121" s="478">
        <f t="shared" si="21"/>
        <v>0</v>
      </c>
      <c r="J121" s="478">
        <f t="shared" si="21"/>
        <v>0</v>
      </c>
    </row>
    <row r="122" spans="1:10" ht="20.100000000000001" hidden="1" customHeight="1">
      <c r="A122" s="471"/>
      <c r="B122" s="131"/>
    </row>
    <row r="123" spans="1:10" ht="20.100000000000001" customHeight="1">
      <c r="A123" s="476" t="s">
        <v>508</v>
      </c>
      <c r="B123" s="477" t="s">
        <v>736</v>
      </c>
      <c r="C123" s="829" t="s">
        <v>509</v>
      </c>
      <c r="D123" s="830"/>
      <c r="E123" s="478">
        <f>E124</f>
        <v>215000</v>
      </c>
      <c r="F123" s="478">
        <f t="shared" ref="F123:J123" si="22">F124</f>
        <v>25000</v>
      </c>
      <c r="G123" s="478">
        <f t="shared" si="22"/>
        <v>45000</v>
      </c>
      <c r="H123" s="478">
        <f t="shared" si="22"/>
        <v>45000</v>
      </c>
      <c r="I123" s="478">
        <f t="shared" si="22"/>
        <v>50000</v>
      </c>
      <c r="J123" s="478">
        <f t="shared" si="22"/>
        <v>50000</v>
      </c>
    </row>
    <row r="124" spans="1:10" ht="20.100000000000001" hidden="1" customHeight="1">
      <c r="A124" s="500"/>
      <c r="B124" s="501"/>
      <c r="C124" s="555" t="s">
        <v>510</v>
      </c>
      <c r="D124" s="748" t="s">
        <v>511</v>
      </c>
      <c r="E124" s="749">
        <f>SUM(F124:J124)</f>
        <v>215000</v>
      </c>
      <c r="F124" s="749">
        <v>25000</v>
      </c>
      <c r="G124" s="749">
        <v>45000</v>
      </c>
      <c r="H124" s="749">
        <v>45000</v>
      </c>
      <c r="I124" s="749">
        <v>50000</v>
      </c>
      <c r="J124" s="749">
        <v>50000</v>
      </c>
    </row>
    <row r="125" spans="1:10" ht="15" customHeight="1"/>
    <row r="126" spans="1:10" ht="20.100000000000001" customHeight="1">
      <c r="A126" s="491" t="s">
        <v>190</v>
      </c>
      <c r="B126" s="817" t="s">
        <v>512</v>
      </c>
      <c r="C126" s="818"/>
      <c r="D126" s="818"/>
      <c r="E126" s="492">
        <f t="shared" ref="E126:J126" si="23">E127+E149+E160</f>
        <v>72000000</v>
      </c>
      <c r="F126" s="492">
        <f t="shared" si="23"/>
        <v>32740000</v>
      </c>
      <c r="G126" s="492">
        <f t="shared" si="23"/>
        <v>21660000</v>
      </c>
      <c r="H126" s="492">
        <f t="shared" si="23"/>
        <v>5910000</v>
      </c>
      <c r="I126" s="492">
        <f t="shared" si="23"/>
        <v>6190000</v>
      </c>
      <c r="J126" s="492">
        <f t="shared" si="23"/>
        <v>5500000</v>
      </c>
    </row>
    <row r="127" spans="1:10" ht="20.100000000000001" customHeight="1">
      <c r="A127" s="493" t="s">
        <v>192</v>
      </c>
      <c r="B127" s="494" t="s">
        <v>192</v>
      </c>
      <c r="C127" s="819" t="s">
        <v>513</v>
      </c>
      <c r="D127" s="820"/>
      <c r="E127" s="495">
        <f>E129+E131</f>
        <v>24280000</v>
      </c>
      <c r="F127" s="495">
        <f t="shared" ref="F127:J127" si="24">F129+F131</f>
        <v>16860000</v>
      </c>
      <c r="G127" s="495">
        <f t="shared" si="24"/>
        <v>2050000</v>
      </c>
      <c r="H127" s="495">
        <f t="shared" si="24"/>
        <v>2080000</v>
      </c>
      <c r="I127" s="495">
        <f t="shared" si="24"/>
        <v>2120000</v>
      </c>
      <c r="J127" s="495">
        <f t="shared" si="24"/>
        <v>1170000</v>
      </c>
    </row>
    <row r="128" spans="1:10" ht="20.100000000000001" customHeight="1">
      <c r="A128" s="493" t="s">
        <v>193</v>
      </c>
      <c r="B128" s="494" t="s">
        <v>417</v>
      </c>
      <c r="C128" s="837" t="s">
        <v>195</v>
      </c>
      <c r="D128" s="838"/>
      <c r="E128" s="496"/>
      <c r="F128" s="496"/>
      <c r="G128" s="496"/>
      <c r="H128" s="496"/>
      <c r="I128" s="496"/>
      <c r="J128" s="496"/>
    </row>
    <row r="129" spans="1:10" ht="20.100000000000001" customHeight="1">
      <c r="A129" s="497" t="s">
        <v>514</v>
      </c>
      <c r="B129" s="498" t="s">
        <v>751</v>
      </c>
      <c r="C129" s="839" t="s">
        <v>515</v>
      </c>
      <c r="D129" s="840"/>
      <c r="E129" s="499">
        <f>E130</f>
        <v>90000</v>
      </c>
      <c r="F129" s="499">
        <f t="shared" ref="F129:J129" si="25">F130</f>
        <v>90000</v>
      </c>
      <c r="G129" s="499">
        <f t="shared" si="25"/>
        <v>0</v>
      </c>
      <c r="H129" s="499">
        <f t="shared" si="25"/>
        <v>0</v>
      </c>
      <c r="I129" s="499">
        <f t="shared" si="25"/>
        <v>0</v>
      </c>
      <c r="J129" s="499">
        <f t="shared" si="25"/>
        <v>0</v>
      </c>
    </row>
    <row r="130" spans="1:10" ht="20.100000000000001" hidden="1" customHeight="1">
      <c r="A130" s="500"/>
      <c r="B130" s="501"/>
      <c r="C130" s="555" t="s">
        <v>516</v>
      </c>
      <c r="D130" s="748" t="s">
        <v>517</v>
      </c>
      <c r="E130" s="749">
        <f>SUM(F130:J130)</f>
        <v>90000</v>
      </c>
      <c r="F130" s="749">
        <v>90000</v>
      </c>
      <c r="G130" s="749">
        <v>0</v>
      </c>
      <c r="H130" s="749">
        <v>0</v>
      </c>
      <c r="I130" s="749">
        <v>0</v>
      </c>
      <c r="J130" s="749">
        <v>0</v>
      </c>
    </row>
    <row r="131" spans="1:10" ht="30" customHeight="1">
      <c r="A131" s="502" t="s">
        <v>518</v>
      </c>
      <c r="B131" s="503" t="s">
        <v>786</v>
      </c>
      <c r="C131" s="841" t="s">
        <v>519</v>
      </c>
      <c r="D131" s="842"/>
      <c r="E131" s="499">
        <f t="shared" ref="E131:J131" si="26">E132+E133+E135+E136+E137+E138</f>
        <v>24190000</v>
      </c>
      <c r="F131" s="499">
        <f t="shared" si="26"/>
        <v>16770000</v>
      </c>
      <c r="G131" s="499">
        <f t="shared" si="26"/>
        <v>2050000</v>
      </c>
      <c r="H131" s="499">
        <f t="shared" si="26"/>
        <v>2080000</v>
      </c>
      <c r="I131" s="499">
        <f t="shared" si="26"/>
        <v>2120000</v>
      </c>
      <c r="J131" s="499">
        <f t="shared" si="26"/>
        <v>1170000</v>
      </c>
    </row>
    <row r="132" spans="1:10" ht="20.100000000000001" hidden="1" customHeight="1">
      <c r="A132" s="500"/>
      <c r="B132" s="501"/>
      <c r="C132" s="555" t="s">
        <v>520</v>
      </c>
      <c r="D132" s="748" t="s">
        <v>521</v>
      </c>
      <c r="E132" s="749">
        <f>SUM(F132:J132)</f>
        <v>15000000</v>
      </c>
      <c r="F132" s="749">
        <v>15000000</v>
      </c>
      <c r="G132" s="749">
        <v>0</v>
      </c>
      <c r="H132" s="749">
        <v>0</v>
      </c>
      <c r="I132" s="749">
        <v>0</v>
      </c>
      <c r="J132" s="749">
        <v>0</v>
      </c>
    </row>
    <row r="133" spans="1:10" ht="20.100000000000001" hidden="1" customHeight="1">
      <c r="A133" s="500"/>
      <c r="B133" s="501"/>
      <c r="C133" s="555" t="s">
        <v>522</v>
      </c>
      <c r="D133" s="748" t="s">
        <v>523</v>
      </c>
      <c r="E133" s="749">
        <f t="shared" ref="E133:E138" si="27">SUM(F133:J133)</f>
        <v>0</v>
      </c>
      <c r="F133" s="749">
        <v>0</v>
      </c>
      <c r="G133" s="749">
        <v>0</v>
      </c>
      <c r="H133" s="749">
        <v>0</v>
      </c>
      <c r="I133" s="749">
        <v>0</v>
      </c>
      <c r="J133" s="749">
        <v>0</v>
      </c>
    </row>
    <row r="134" spans="1:10" ht="20.100000000000001" hidden="1" customHeight="1">
      <c r="A134" s="491" t="s">
        <v>190</v>
      </c>
      <c r="B134" s="817" t="s">
        <v>512</v>
      </c>
      <c r="C134" s="818"/>
      <c r="D134" s="818"/>
      <c r="E134" s="492"/>
      <c r="F134" s="492"/>
      <c r="G134" s="492"/>
      <c r="H134" s="492"/>
      <c r="I134" s="492"/>
      <c r="J134" s="492"/>
    </row>
    <row r="135" spans="1:10" ht="30" hidden="1">
      <c r="A135" s="500"/>
      <c r="B135" s="501"/>
      <c r="C135" s="555" t="s">
        <v>524</v>
      </c>
      <c r="D135" s="748" t="s">
        <v>525</v>
      </c>
      <c r="E135" s="749">
        <f t="shared" si="27"/>
        <v>4000000</v>
      </c>
      <c r="F135" s="749">
        <v>1000000</v>
      </c>
      <c r="G135" s="749">
        <v>1000000</v>
      </c>
      <c r="H135" s="749">
        <v>1000000</v>
      </c>
      <c r="I135" s="749">
        <v>1000000</v>
      </c>
      <c r="J135" s="749">
        <v>0</v>
      </c>
    </row>
    <row r="136" spans="1:10" ht="20.100000000000001" hidden="1" customHeight="1">
      <c r="A136" s="500"/>
      <c r="B136" s="501"/>
      <c r="C136" s="555" t="s">
        <v>526</v>
      </c>
      <c r="D136" s="748" t="s">
        <v>527</v>
      </c>
      <c r="E136" s="749">
        <f t="shared" si="27"/>
        <v>2020000</v>
      </c>
      <c r="F136" s="749">
        <f>F92</f>
        <v>370000</v>
      </c>
      <c r="G136" s="749">
        <f t="shared" ref="G136:J136" si="28">G92</f>
        <v>390000</v>
      </c>
      <c r="H136" s="749">
        <f t="shared" si="28"/>
        <v>400000</v>
      </c>
      <c r="I136" s="749">
        <f t="shared" si="28"/>
        <v>420000</v>
      </c>
      <c r="J136" s="749">
        <f t="shared" si="28"/>
        <v>440000</v>
      </c>
    </row>
    <row r="137" spans="1:10" ht="20.100000000000001" hidden="1" customHeight="1">
      <c r="A137" s="500"/>
      <c r="B137" s="501"/>
      <c r="C137" s="555" t="s">
        <v>528</v>
      </c>
      <c r="D137" s="748" t="s">
        <v>529</v>
      </c>
      <c r="E137" s="749">
        <f t="shared" si="27"/>
        <v>2420000</v>
      </c>
      <c r="F137" s="749">
        <v>250000</v>
      </c>
      <c r="G137" s="749">
        <v>510000</v>
      </c>
      <c r="H137" s="749">
        <v>530000</v>
      </c>
      <c r="I137" s="749">
        <v>550000</v>
      </c>
      <c r="J137" s="749">
        <v>580000</v>
      </c>
    </row>
    <row r="138" spans="1:10" ht="20.100000000000001" hidden="1" customHeight="1">
      <c r="A138" s="500"/>
      <c r="B138" s="501"/>
      <c r="C138" s="555" t="s">
        <v>530</v>
      </c>
      <c r="D138" s="748" t="s">
        <v>531</v>
      </c>
      <c r="E138" s="749">
        <f t="shared" si="27"/>
        <v>750000</v>
      </c>
      <c r="F138" s="749">
        <v>150000</v>
      </c>
      <c r="G138" s="749">
        <f>G93</f>
        <v>150000</v>
      </c>
      <c r="H138" s="749">
        <f>H93</f>
        <v>150000</v>
      </c>
      <c r="I138" s="749">
        <f>I93</f>
        <v>150000</v>
      </c>
      <c r="J138" s="749">
        <f>J93</f>
        <v>150000</v>
      </c>
    </row>
    <row r="139" spans="1:10" ht="30" hidden="1" customHeight="1">
      <c r="A139" s="497" t="s">
        <v>532</v>
      </c>
      <c r="B139" s="498"/>
      <c r="C139" s="843" t="s">
        <v>533</v>
      </c>
      <c r="D139" s="844"/>
      <c r="E139" s="499"/>
      <c r="F139" s="499"/>
      <c r="G139" s="499"/>
      <c r="H139" s="499"/>
      <c r="I139" s="499"/>
      <c r="J139" s="499"/>
    </row>
    <row r="140" spans="1:10" hidden="1">
      <c r="A140" s="500"/>
      <c r="B140" s="501"/>
      <c r="C140" s="501"/>
      <c r="D140" s="504"/>
      <c r="E140" s="473"/>
      <c r="F140" s="473"/>
      <c r="G140" s="473"/>
      <c r="H140" s="473"/>
      <c r="I140" s="473"/>
      <c r="J140" s="473"/>
    </row>
    <row r="141" spans="1:10" ht="30" hidden="1" customHeight="1">
      <c r="A141" s="497" t="s">
        <v>534</v>
      </c>
      <c r="B141" s="498"/>
      <c r="C141" s="843" t="s">
        <v>535</v>
      </c>
      <c r="D141" s="844"/>
      <c r="E141" s="499"/>
      <c r="F141" s="499"/>
      <c r="G141" s="499"/>
      <c r="H141" s="499"/>
      <c r="I141" s="499"/>
      <c r="J141" s="499"/>
    </row>
    <row r="142" spans="1:10" hidden="1">
      <c r="A142" s="500"/>
      <c r="B142" s="501"/>
      <c r="C142" s="501"/>
      <c r="D142" s="505"/>
      <c r="E142" s="473"/>
      <c r="F142" s="473"/>
      <c r="G142" s="473"/>
      <c r="H142" s="473"/>
      <c r="I142" s="473"/>
      <c r="J142" s="473"/>
    </row>
    <row r="143" spans="1:10" ht="30" hidden="1" customHeight="1">
      <c r="A143" s="497" t="s">
        <v>536</v>
      </c>
      <c r="B143" s="498"/>
      <c r="C143" s="843" t="s">
        <v>537</v>
      </c>
      <c r="D143" s="844"/>
      <c r="E143" s="499"/>
      <c r="F143" s="499"/>
      <c r="G143" s="499"/>
      <c r="H143" s="499"/>
      <c r="I143" s="499"/>
      <c r="J143" s="499"/>
    </row>
    <row r="144" spans="1:10" hidden="1">
      <c r="A144" s="500"/>
      <c r="B144" s="501"/>
      <c r="C144" s="501"/>
      <c r="D144" s="505"/>
      <c r="E144" s="473"/>
      <c r="F144" s="473"/>
      <c r="G144" s="473"/>
      <c r="H144" s="473"/>
      <c r="I144" s="473"/>
      <c r="J144" s="473"/>
    </row>
    <row r="145" spans="1:10" ht="30" hidden="1" customHeight="1">
      <c r="A145" s="497" t="s">
        <v>538</v>
      </c>
      <c r="B145" s="498"/>
      <c r="C145" s="843" t="s">
        <v>539</v>
      </c>
      <c r="D145" s="844"/>
      <c r="E145" s="499"/>
      <c r="F145" s="499"/>
      <c r="G145" s="499"/>
      <c r="H145" s="499"/>
      <c r="I145" s="499"/>
      <c r="J145" s="499"/>
    </row>
    <row r="146" spans="1:10" hidden="1">
      <c r="A146" s="500"/>
      <c r="B146" s="501"/>
      <c r="C146" s="501"/>
      <c r="D146" s="505"/>
      <c r="E146" s="473"/>
      <c r="F146" s="473"/>
      <c r="G146" s="473"/>
      <c r="H146" s="473"/>
      <c r="I146" s="473"/>
      <c r="J146" s="473"/>
    </row>
    <row r="147" spans="1:10" ht="30" hidden="1" customHeight="1">
      <c r="A147" s="497" t="s">
        <v>540</v>
      </c>
      <c r="B147" s="498"/>
      <c r="C147" s="843" t="s">
        <v>541</v>
      </c>
      <c r="D147" s="844"/>
      <c r="E147" s="499"/>
      <c r="F147" s="499"/>
      <c r="G147" s="499"/>
      <c r="H147" s="499"/>
      <c r="I147" s="499"/>
      <c r="J147" s="499"/>
    </row>
    <row r="148" spans="1:10" hidden="1">
      <c r="A148" s="500"/>
      <c r="B148" s="501"/>
      <c r="C148" s="501"/>
      <c r="D148" s="615"/>
      <c r="E148" s="473"/>
      <c r="F148" s="473"/>
      <c r="G148" s="473"/>
      <c r="H148" s="473"/>
      <c r="I148" s="473"/>
      <c r="J148" s="473"/>
    </row>
    <row r="149" spans="1:10" ht="20.100000000000001" customHeight="1">
      <c r="A149" s="506" t="s">
        <v>192</v>
      </c>
      <c r="B149" s="494" t="s">
        <v>192</v>
      </c>
      <c r="C149" s="805" t="s">
        <v>542</v>
      </c>
      <c r="D149" s="806"/>
      <c r="E149" s="495">
        <f>E151+E154+E156+E158</f>
        <v>5250000</v>
      </c>
      <c r="F149" s="495">
        <f t="shared" ref="F149:J149" si="29">F151+F154+F156+F158</f>
        <v>250000</v>
      </c>
      <c r="G149" s="495">
        <f t="shared" si="29"/>
        <v>3500000</v>
      </c>
      <c r="H149" s="495">
        <f t="shared" si="29"/>
        <v>500000</v>
      </c>
      <c r="I149" s="495">
        <f t="shared" si="29"/>
        <v>500000</v>
      </c>
      <c r="J149" s="495">
        <f t="shared" si="29"/>
        <v>500000</v>
      </c>
    </row>
    <row r="150" spans="1:10" ht="20.100000000000001" customHeight="1">
      <c r="A150" s="506" t="s">
        <v>193</v>
      </c>
      <c r="B150" s="494" t="s">
        <v>417</v>
      </c>
      <c r="C150" s="805" t="s">
        <v>195</v>
      </c>
      <c r="D150" s="806"/>
      <c r="E150" s="495"/>
      <c r="F150" s="495"/>
      <c r="G150" s="495"/>
      <c r="H150" s="495"/>
      <c r="I150" s="495"/>
      <c r="J150" s="495"/>
    </row>
    <row r="151" spans="1:10" ht="30" customHeight="1">
      <c r="A151" s="497" t="s">
        <v>543</v>
      </c>
      <c r="B151" s="498" t="s">
        <v>787</v>
      </c>
      <c r="C151" s="843" t="s">
        <v>544</v>
      </c>
      <c r="D151" s="844"/>
      <c r="E151" s="499">
        <f>E152+E153</f>
        <v>5250000</v>
      </c>
      <c r="F151" s="499">
        <f t="shared" ref="F151:J151" si="30">F152+F153</f>
        <v>250000</v>
      </c>
      <c r="G151" s="499">
        <f t="shared" si="30"/>
        <v>3500000</v>
      </c>
      <c r="H151" s="499">
        <f t="shared" si="30"/>
        <v>500000</v>
      </c>
      <c r="I151" s="499">
        <f t="shared" si="30"/>
        <v>500000</v>
      </c>
      <c r="J151" s="499">
        <f t="shared" si="30"/>
        <v>500000</v>
      </c>
    </row>
    <row r="152" spans="1:10" ht="30" hidden="1">
      <c r="A152" s="500"/>
      <c r="B152" s="501"/>
      <c r="C152" s="555" t="s">
        <v>545</v>
      </c>
      <c r="D152" s="748" t="s">
        <v>546</v>
      </c>
      <c r="E152" s="749">
        <f t="shared" ref="E152:E153" si="31">SUM(F152:J152)</f>
        <v>2250000</v>
      </c>
      <c r="F152" s="749">
        <v>250000</v>
      </c>
      <c r="G152" s="749">
        <v>500000</v>
      </c>
      <c r="H152" s="749">
        <v>500000</v>
      </c>
      <c r="I152" s="749">
        <v>500000</v>
      </c>
      <c r="J152" s="749">
        <v>500000</v>
      </c>
    </row>
    <row r="153" spans="1:10" ht="30" hidden="1">
      <c r="A153" s="500"/>
      <c r="B153" s="501"/>
      <c r="C153" s="555" t="s">
        <v>547</v>
      </c>
      <c r="D153" s="748" t="s">
        <v>548</v>
      </c>
      <c r="E153" s="749">
        <f t="shared" si="31"/>
        <v>3000000</v>
      </c>
      <c r="F153" s="749">
        <v>0</v>
      </c>
      <c r="G153" s="749">
        <v>3000000</v>
      </c>
      <c r="H153" s="749">
        <v>0</v>
      </c>
      <c r="I153" s="749">
        <v>0</v>
      </c>
      <c r="J153" s="749">
        <v>0</v>
      </c>
    </row>
    <row r="154" spans="1:10" ht="20.100000000000001" hidden="1" customHeight="1">
      <c r="A154" s="497" t="s">
        <v>549</v>
      </c>
      <c r="B154" s="498"/>
      <c r="C154" s="843" t="s">
        <v>550</v>
      </c>
      <c r="D154" s="844"/>
      <c r="E154" s="499">
        <f>E155</f>
        <v>0</v>
      </c>
      <c r="F154" s="499">
        <f t="shared" ref="F154:J154" si="32">F155</f>
        <v>0</v>
      </c>
      <c r="G154" s="499">
        <f t="shared" si="32"/>
        <v>0</v>
      </c>
      <c r="H154" s="499">
        <f t="shared" si="32"/>
        <v>0</v>
      </c>
      <c r="I154" s="499">
        <f t="shared" si="32"/>
        <v>0</v>
      </c>
      <c r="J154" s="499">
        <f t="shared" si="32"/>
        <v>0</v>
      </c>
    </row>
    <row r="155" spans="1:10" ht="15" hidden="1" customHeight="1">
      <c r="A155" s="500"/>
      <c r="B155" s="501"/>
      <c r="C155" s="479" t="s">
        <v>551</v>
      </c>
      <c r="D155" s="468" t="s">
        <v>552</v>
      </c>
      <c r="E155" s="480">
        <f t="shared" ref="E155" si="33">SUM(F155:J155)</f>
        <v>0</v>
      </c>
      <c r="F155" s="480">
        <v>0</v>
      </c>
      <c r="G155" s="480">
        <v>0</v>
      </c>
      <c r="H155" s="480">
        <v>0</v>
      </c>
      <c r="I155" s="480">
        <v>0</v>
      </c>
      <c r="J155" s="480">
        <v>0</v>
      </c>
    </row>
    <row r="156" spans="1:10" ht="20.100000000000001" hidden="1" customHeight="1">
      <c r="A156" s="497" t="s">
        <v>553</v>
      </c>
      <c r="B156" s="498"/>
      <c r="C156" s="843" t="s">
        <v>554</v>
      </c>
      <c r="D156" s="844"/>
      <c r="E156" s="499">
        <f>E157</f>
        <v>0</v>
      </c>
      <c r="F156" s="499">
        <f t="shared" ref="F156:J158" si="34">F157</f>
        <v>0</v>
      </c>
      <c r="G156" s="499">
        <f t="shared" si="34"/>
        <v>0</v>
      </c>
      <c r="H156" s="499">
        <f t="shared" si="34"/>
        <v>0</v>
      </c>
      <c r="I156" s="499">
        <f t="shared" si="34"/>
        <v>0</v>
      </c>
      <c r="J156" s="499">
        <f t="shared" si="34"/>
        <v>0</v>
      </c>
    </row>
    <row r="157" spans="1:10" hidden="1">
      <c r="A157" s="500"/>
      <c r="B157" s="501"/>
      <c r="C157" s="479" t="s">
        <v>555</v>
      </c>
      <c r="D157" s="485" t="s">
        <v>556</v>
      </c>
      <c r="E157" s="480">
        <f t="shared" ref="E157" si="35">SUM(F157:J157)</f>
        <v>0</v>
      </c>
      <c r="F157" s="480">
        <v>0</v>
      </c>
      <c r="G157" s="480">
        <v>0</v>
      </c>
      <c r="H157" s="480">
        <v>0</v>
      </c>
      <c r="I157" s="480">
        <v>0</v>
      </c>
      <c r="J157" s="480">
        <v>0</v>
      </c>
    </row>
    <row r="158" spans="1:10" ht="30" hidden="1" customHeight="1">
      <c r="A158" s="497" t="s">
        <v>557</v>
      </c>
      <c r="B158" s="498"/>
      <c r="C158" s="843" t="s">
        <v>558</v>
      </c>
      <c r="D158" s="844"/>
      <c r="E158" s="499">
        <f>E159</f>
        <v>0</v>
      </c>
      <c r="F158" s="499">
        <f t="shared" si="34"/>
        <v>0</v>
      </c>
      <c r="G158" s="499">
        <f t="shared" si="34"/>
        <v>0</v>
      </c>
      <c r="H158" s="499">
        <f t="shared" si="34"/>
        <v>0</v>
      </c>
      <c r="I158" s="499">
        <f t="shared" si="34"/>
        <v>0</v>
      </c>
      <c r="J158" s="499">
        <f t="shared" si="34"/>
        <v>0</v>
      </c>
    </row>
    <row r="159" spans="1:10" hidden="1">
      <c r="A159" s="500"/>
      <c r="B159" s="501"/>
      <c r="C159" s="479" t="s">
        <v>555</v>
      </c>
      <c r="D159" s="485" t="s">
        <v>559</v>
      </c>
      <c r="E159" s="480">
        <f t="shared" ref="E159" si="36">SUM(F159:J159)</f>
        <v>0</v>
      </c>
      <c r="F159" s="480">
        <v>0</v>
      </c>
      <c r="G159" s="480">
        <v>0</v>
      </c>
      <c r="H159" s="480">
        <v>0</v>
      </c>
      <c r="I159" s="480">
        <v>0</v>
      </c>
      <c r="J159" s="480">
        <v>0</v>
      </c>
    </row>
    <row r="160" spans="1:10">
      <c r="A160" s="506" t="s">
        <v>192</v>
      </c>
      <c r="B160" s="494" t="s">
        <v>192</v>
      </c>
      <c r="C160" s="805" t="s">
        <v>560</v>
      </c>
      <c r="D160" s="806"/>
      <c r="E160" s="495">
        <f t="shared" ref="E160:J160" si="37">E162+E164+E167</f>
        <v>42470000</v>
      </c>
      <c r="F160" s="495">
        <f t="shared" si="37"/>
        <v>15630000</v>
      </c>
      <c r="G160" s="495">
        <f t="shared" si="37"/>
        <v>16110000</v>
      </c>
      <c r="H160" s="495">
        <f t="shared" si="37"/>
        <v>3330000</v>
      </c>
      <c r="I160" s="495">
        <f t="shared" si="37"/>
        <v>3570000</v>
      </c>
      <c r="J160" s="495">
        <f t="shared" si="37"/>
        <v>3830000</v>
      </c>
    </row>
    <row r="161" spans="1:10">
      <c r="A161" s="506" t="s">
        <v>193</v>
      </c>
      <c r="B161" s="494" t="s">
        <v>417</v>
      </c>
      <c r="C161" s="805" t="s">
        <v>195</v>
      </c>
      <c r="D161" s="806"/>
      <c r="E161" s="496"/>
      <c r="F161" s="496"/>
      <c r="G161" s="496"/>
      <c r="H161" s="496"/>
      <c r="I161" s="496"/>
      <c r="J161" s="496"/>
    </row>
    <row r="162" spans="1:10" ht="45" hidden="1" customHeight="1">
      <c r="A162" s="497" t="s">
        <v>561</v>
      </c>
      <c r="B162" s="498"/>
      <c r="C162" s="843" t="s">
        <v>562</v>
      </c>
      <c r="D162" s="844"/>
      <c r="E162" s="499"/>
      <c r="F162" s="499"/>
      <c r="G162" s="499"/>
      <c r="H162" s="499"/>
      <c r="I162" s="499"/>
      <c r="J162" s="499"/>
    </row>
    <row r="163" spans="1:10" ht="15" hidden="1" customHeight="1">
      <c r="A163" s="500"/>
      <c r="B163" s="501"/>
      <c r="C163" s="501"/>
      <c r="D163" s="501"/>
      <c r="E163" s="501"/>
      <c r="F163" s="501"/>
      <c r="G163" s="501"/>
      <c r="H163" s="501"/>
      <c r="I163" s="501"/>
      <c r="J163" s="501"/>
    </row>
    <row r="164" spans="1:10" ht="30" customHeight="1">
      <c r="A164" s="497" t="s">
        <v>566</v>
      </c>
      <c r="B164" s="498" t="s">
        <v>788</v>
      </c>
      <c r="C164" s="843" t="s">
        <v>567</v>
      </c>
      <c r="D164" s="844"/>
      <c r="E164" s="499">
        <f t="shared" ref="E164:J164" si="38">SUM(E165:E165)</f>
        <v>2000000</v>
      </c>
      <c r="F164" s="499">
        <f t="shared" si="38"/>
        <v>0</v>
      </c>
      <c r="G164" s="499">
        <f t="shared" si="38"/>
        <v>200000</v>
      </c>
      <c r="H164" s="499">
        <f t="shared" si="38"/>
        <v>400000</v>
      </c>
      <c r="I164" s="499">
        <f t="shared" si="38"/>
        <v>600000</v>
      </c>
      <c r="J164" s="499">
        <f t="shared" si="38"/>
        <v>800000</v>
      </c>
    </row>
    <row r="165" spans="1:10" ht="20.100000000000001" hidden="1" customHeight="1">
      <c r="A165" s="500"/>
      <c r="B165" s="501"/>
      <c r="C165" s="555" t="s">
        <v>568</v>
      </c>
      <c r="D165" s="748" t="s">
        <v>794</v>
      </c>
      <c r="E165" s="749">
        <f t="shared" ref="E165" si="39">SUM(F165:J165)</f>
        <v>2000000</v>
      </c>
      <c r="F165" s="749">
        <v>0</v>
      </c>
      <c r="G165" s="749">
        <v>200000</v>
      </c>
      <c r="H165" s="749">
        <v>400000</v>
      </c>
      <c r="I165" s="749">
        <v>600000</v>
      </c>
      <c r="J165" s="749">
        <v>800000</v>
      </c>
    </row>
    <row r="166" spans="1:10" ht="30.75" customHeight="1">
      <c r="A166" s="497" t="s">
        <v>569</v>
      </c>
      <c r="B166" s="498" t="s">
        <v>789</v>
      </c>
      <c r="C166" s="843" t="s">
        <v>570</v>
      </c>
      <c r="D166" s="844"/>
      <c r="E166" s="749"/>
      <c r="F166" s="749"/>
      <c r="G166" s="749"/>
      <c r="H166" s="749"/>
      <c r="I166" s="749"/>
      <c r="J166" s="749"/>
    </row>
    <row r="167" spans="1:10" ht="30" customHeight="1">
      <c r="A167" s="497" t="s">
        <v>569</v>
      </c>
      <c r="B167" s="498" t="s">
        <v>808</v>
      </c>
      <c r="C167" s="843" t="s">
        <v>962</v>
      </c>
      <c r="D167" s="844"/>
      <c r="E167" s="499">
        <f>SUM(E168:E170)</f>
        <v>40470000</v>
      </c>
      <c r="F167" s="499">
        <f>SUM(F168:F170)</f>
        <v>15630000</v>
      </c>
      <c r="G167" s="499">
        <f t="shared" ref="G167:J167" si="40">SUM(G168:G170)</f>
        <v>15910000</v>
      </c>
      <c r="H167" s="499">
        <f t="shared" si="40"/>
        <v>2930000</v>
      </c>
      <c r="I167" s="499">
        <f t="shared" si="40"/>
        <v>2970000</v>
      </c>
      <c r="J167" s="499">
        <f t="shared" si="40"/>
        <v>3030000</v>
      </c>
    </row>
    <row r="168" spans="1:10" ht="20.100000000000001" hidden="1" customHeight="1">
      <c r="A168" s="500"/>
      <c r="B168" s="501"/>
      <c r="C168" s="555" t="s">
        <v>571</v>
      </c>
      <c r="D168" s="748" t="s">
        <v>563</v>
      </c>
      <c r="E168" s="749">
        <f t="shared" ref="E168:E170" si="41">SUM(F168:J168)</f>
        <v>36000000</v>
      </c>
      <c r="F168" s="749">
        <v>15000000</v>
      </c>
      <c r="G168" s="749">
        <v>15000000</v>
      </c>
      <c r="H168" s="749">
        <v>2000000</v>
      </c>
      <c r="I168" s="749">
        <v>2000000</v>
      </c>
      <c r="J168" s="749">
        <v>2000000</v>
      </c>
    </row>
    <row r="169" spans="1:10" ht="20.100000000000001" hidden="1" customHeight="1">
      <c r="A169" s="500"/>
      <c r="B169" s="501"/>
      <c r="C169" s="555" t="s">
        <v>564</v>
      </c>
      <c r="D169" s="748" t="s">
        <v>527</v>
      </c>
      <c r="E169" s="749">
        <f t="shared" si="41"/>
        <v>2050000</v>
      </c>
      <c r="F169" s="749">
        <v>380000</v>
      </c>
      <c r="G169" s="749">
        <v>400000</v>
      </c>
      <c r="H169" s="749">
        <f>H136</f>
        <v>400000</v>
      </c>
      <c r="I169" s="749">
        <f>I136</f>
        <v>420000</v>
      </c>
      <c r="J169" s="749">
        <v>450000</v>
      </c>
    </row>
    <row r="170" spans="1:10" ht="20.100000000000001" hidden="1" customHeight="1">
      <c r="A170" s="500"/>
      <c r="B170" s="501"/>
      <c r="C170" s="555" t="s">
        <v>565</v>
      </c>
      <c r="D170" s="748" t="s">
        <v>529</v>
      </c>
      <c r="E170" s="749">
        <f t="shared" si="41"/>
        <v>2420000</v>
      </c>
      <c r="F170" s="749">
        <v>250000</v>
      </c>
      <c r="G170" s="749">
        <v>510000</v>
      </c>
      <c r="H170" s="749">
        <v>530000</v>
      </c>
      <c r="I170" s="749">
        <v>550000</v>
      </c>
      <c r="J170" s="749">
        <v>580000</v>
      </c>
    </row>
    <row r="171" spans="1:10" ht="45" hidden="1" customHeight="1">
      <c r="A171" s="497" t="s">
        <v>572</v>
      </c>
      <c r="B171" s="498" t="s">
        <v>790</v>
      </c>
      <c r="C171" s="843" t="s">
        <v>573</v>
      </c>
      <c r="D171" s="844"/>
      <c r="E171" s="499"/>
      <c r="F171" s="499"/>
      <c r="G171" s="499"/>
      <c r="H171" s="499"/>
      <c r="I171" s="499"/>
      <c r="J171" s="499"/>
    </row>
    <row r="172" spans="1:10" ht="15" hidden="1" customHeight="1">
      <c r="A172" s="500"/>
      <c r="B172" s="501"/>
      <c r="C172" s="501"/>
      <c r="D172" s="501"/>
      <c r="E172" s="501"/>
      <c r="F172" s="501"/>
      <c r="G172" s="501"/>
      <c r="H172" s="501"/>
      <c r="I172" s="501"/>
      <c r="J172" s="501"/>
    </row>
    <row r="173" spans="1:10" ht="24.95" hidden="1" customHeight="1">
      <c r="A173" s="497" t="s">
        <v>574</v>
      </c>
      <c r="B173" s="498"/>
      <c r="C173" s="843" t="s">
        <v>575</v>
      </c>
      <c r="D173" s="844"/>
      <c r="E173" s="499"/>
      <c r="F173" s="499"/>
      <c r="G173" s="499"/>
      <c r="H173" s="499"/>
      <c r="I173" s="499"/>
      <c r="J173" s="499"/>
    </row>
    <row r="174" spans="1:10" hidden="1"/>
    <row r="176" spans="1:10" ht="20.100000000000001" customHeight="1">
      <c r="A176" s="507" t="s">
        <v>190</v>
      </c>
      <c r="B176" s="807" t="s">
        <v>576</v>
      </c>
      <c r="C176" s="808"/>
      <c r="D176" s="808"/>
      <c r="E176" s="508">
        <f>E177</f>
        <v>6750000</v>
      </c>
      <c r="F176" s="508">
        <f t="shared" ref="F176:J176" si="42">F177</f>
        <v>1020000</v>
      </c>
      <c r="G176" s="508">
        <f t="shared" si="42"/>
        <v>1400000</v>
      </c>
      <c r="H176" s="508">
        <f t="shared" si="42"/>
        <v>1430000</v>
      </c>
      <c r="I176" s="508">
        <f t="shared" si="42"/>
        <v>1430000</v>
      </c>
      <c r="J176" s="508">
        <f t="shared" si="42"/>
        <v>1470000</v>
      </c>
    </row>
    <row r="177" spans="1:14" ht="20.100000000000001" customHeight="1">
      <c r="A177" s="509" t="s">
        <v>192</v>
      </c>
      <c r="B177" s="510" t="s">
        <v>192</v>
      </c>
      <c r="C177" s="809" t="s">
        <v>577</v>
      </c>
      <c r="D177" s="810"/>
      <c r="E177" s="511">
        <f t="shared" ref="E177:J177" si="43">E179+E183+E186</f>
        <v>6750000</v>
      </c>
      <c r="F177" s="511">
        <f t="shared" si="43"/>
        <v>1020000</v>
      </c>
      <c r="G177" s="511">
        <f t="shared" si="43"/>
        <v>1400000</v>
      </c>
      <c r="H177" s="511">
        <f t="shared" si="43"/>
        <v>1430000</v>
      </c>
      <c r="I177" s="511">
        <f t="shared" si="43"/>
        <v>1430000</v>
      </c>
      <c r="J177" s="511">
        <f t="shared" si="43"/>
        <v>1470000</v>
      </c>
    </row>
    <row r="178" spans="1:14" ht="20.100000000000001" customHeight="1">
      <c r="A178" s="509" t="s">
        <v>193</v>
      </c>
      <c r="B178" s="510" t="s">
        <v>417</v>
      </c>
      <c r="C178" s="851" t="s">
        <v>195</v>
      </c>
      <c r="D178" s="852"/>
      <c r="E178" s="512"/>
      <c r="F178" s="512"/>
      <c r="G178" s="512"/>
      <c r="H178" s="512"/>
      <c r="I178" s="512"/>
      <c r="J178" s="512"/>
    </row>
    <row r="179" spans="1:14" s="516" customFormat="1" ht="20.100000000000001" customHeight="1">
      <c r="A179" s="513" t="s">
        <v>111</v>
      </c>
      <c r="B179" s="514" t="s">
        <v>730</v>
      </c>
      <c r="C179" s="853" t="s">
        <v>578</v>
      </c>
      <c r="D179" s="854"/>
      <c r="E179" s="515">
        <f>E180+E181+E182</f>
        <v>3320000</v>
      </c>
      <c r="F179" s="515">
        <f t="shared" ref="F179:J179" si="44">F180+F181+F182</f>
        <v>350000</v>
      </c>
      <c r="G179" s="515">
        <f t="shared" si="44"/>
        <v>710000</v>
      </c>
      <c r="H179" s="515">
        <f t="shared" si="44"/>
        <v>730000</v>
      </c>
      <c r="I179" s="515">
        <f t="shared" si="44"/>
        <v>750000</v>
      </c>
      <c r="J179" s="515">
        <f t="shared" si="44"/>
        <v>780000</v>
      </c>
      <c r="K179" s="130"/>
      <c r="L179" s="130"/>
      <c r="M179" s="130"/>
      <c r="N179" s="130"/>
    </row>
    <row r="180" spans="1:14" ht="20.100000000000001" hidden="1" customHeight="1">
      <c r="A180" s="500"/>
      <c r="B180" s="501"/>
      <c r="C180" s="555" t="s">
        <v>755</v>
      </c>
      <c r="D180" s="748" t="s">
        <v>579</v>
      </c>
      <c r="E180" s="749">
        <f t="shared" ref="E180:E181" si="45">SUM(F180:J180)</f>
        <v>500000</v>
      </c>
      <c r="F180" s="749">
        <v>100000</v>
      </c>
      <c r="G180" s="749">
        <v>100000</v>
      </c>
      <c r="H180" s="749">
        <v>100000</v>
      </c>
      <c r="I180" s="749">
        <v>100000</v>
      </c>
      <c r="J180" s="749">
        <v>100000</v>
      </c>
    </row>
    <row r="181" spans="1:14" ht="20.100000000000001" hidden="1" customHeight="1">
      <c r="A181" s="500"/>
      <c r="B181" s="501"/>
      <c r="C181" s="555" t="s">
        <v>756</v>
      </c>
      <c r="D181" s="748" t="s">
        <v>580</v>
      </c>
      <c r="E181" s="749">
        <f t="shared" si="45"/>
        <v>400000</v>
      </c>
      <c r="F181" s="749">
        <v>0</v>
      </c>
      <c r="G181" s="749">
        <v>100000</v>
      </c>
      <c r="H181" s="749">
        <v>100000</v>
      </c>
      <c r="I181" s="749">
        <v>100000</v>
      </c>
      <c r="J181" s="749">
        <v>100000</v>
      </c>
    </row>
    <row r="182" spans="1:14" ht="20.100000000000001" hidden="1" customHeight="1">
      <c r="A182" s="500"/>
      <c r="B182" s="501"/>
      <c r="C182" s="555" t="s">
        <v>720</v>
      </c>
      <c r="D182" s="748" t="s">
        <v>503</v>
      </c>
      <c r="E182" s="749">
        <f>SUM(F182:J182)</f>
        <v>2420000</v>
      </c>
      <c r="F182" s="749">
        <v>250000</v>
      </c>
      <c r="G182" s="749">
        <v>510000</v>
      </c>
      <c r="H182" s="749">
        <v>530000</v>
      </c>
      <c r="I182" s="749">
        <v>550000</v>
      </c>
      <c r="J182" s="749">
        <v>580000</v>
      </c>
    </row>
    <row r="183" spans="1:14" s="516" customFormat="1" ht="30" customHeight="1">
      <c r="A183" s="513" t="s">
        <v>581</v>
      </c>
      <c r="B183" s="514" t="s">
        <v>730</v>
      </c>
      <c r="C183" s="853" t="s">
        <v>582</v>
      </c>
      <c r="D183" s="854"/>
      <c r="E183" s="515">
        <f>SUM(F183:J183)</f>
        <v>2530000</v>
      </c>
      <c r="F183" s="515">
        <f>F185</f>
        <v>470000</v>
      </c>
      <c r="G183" s="515">
        <f t="shared" ref="G183:J183" si="46">G185</f>
        <v>490000</v>
      </c>
      <c r="H183" s="515">
        <f t="shared" si="46"/>
        <v>500000</v>
      </c>
      <c r="I183" s="515">
        <f t="shared" si="46"/>
        <v>530000</v>
      </c>
      <c r="J183" s="515">
        <f t="shared" si="46"/>
        <v>540000</v>
      </c>
      <c r="K183" s="130"/>
      <c r="L183" s="130"/>
      <c r="M183" s="130"/>
      <c r="N183" s="130"/>
    </row>
    <row r="184" spans="1:14" ht="20.100000000000001" hidden="1" customHeight="1">
      <c r="A184" s="507" t="s">
        <v>190</v>
      </c>
      <c r="B184" s="807" t="s">
        <v>576</v>
      </c>
      <c r="C184" s="808"/>
      <c r="D184" s="808"/>
      <c r="E184" s="508">
        <f>E185</f>
        <v>2530000</v>
      </c>
      <c r="F184" s="508">
        <f t="shared" ref="F184:J184" si="47">F185</f>
        <v>470000</v>
      </c>
      <c r="G184" s="508">
        <f t="shared" si="47"/>
        <v>490000</v>
      </c>
      <c r="H184" s="508">
        <f t="shared" si="47"/>
        <v>500000</v>
      </c>
      <c r="I184" s="508">
        <f t="shared" si="47"/>
        <v>530000</v>
      </c>
      <c r="J184" s="508">
        <f t="shared" si="47"/>
        <v>540000</v>
      </c>
    </row>
    <row r="185" spans="1:14" ht="20.100000000000001" hidden="1" customHeight="1">
      <c r="A185" s="500"/>
      <c r="B185" s="501"/>
      <c r="C185" s="555" t="s">
        <v>583</v>
      </c>
      <c r="D185" s="748" t="s">
        <v>653</v>
      </c>
      <c r="E185" s="749">
        <f t="shared" ref="E185" si="48">SUM(F185:J185)</f>
        <v>2530000</v>
      </c>
      <c r="F185" s="749">
        <v>470000</v>
      </c>
      <c r="G185" s="749">
        <v>490000</v>
      </c>
      <c r="H185" s="749">
        <v>500000</v>
      </c>
      <c r="I185" s="749">
        <v>530000</v>
      </c>
      <c r="J185" s="749">
        <v>540000</v>
      </c>
    </row>
    <row r="186" spans="1:14" s="516" customFormat="1" ht="30" customHeight="1">
      <c r="A186" s="513" t="s">
        <v>584</v>
      </c>
      <c r="B186" s="514" t="s">
        <v>730</v>
      </c>
      <c r="C186" s="853" t="s">
        <v>585</v>
      </c>
      <c r="D186" s="854"/>
      <c r="E186" s="515">
        <f t="shared" ref="E186:J186" si="49">E187+E188+E189</f>
        <v>900000</v>
      </c>
      <c r="F186" s="515">
        <f t="shared" si="49"/>
        <v>200000</v>
      </c>
      <c r="G186" s="515">
        <f t="shared" si="49"/>
        <v>200000</v>
      </c>
      <c r="H186" s="515">
        <f t="shared" si="49"/>
        <v>200000</v>
      </c>
      <c r="I186" s="515">
        <f t="shared" si="49"/>
        <v>150000</v>
      </c>
      <c r="J186" s="515">
        <f t="shared" si="49"/>
        <v>150000</v>
      </c>
      <c r="K186" s="130"/>
      <c r="L186" s="130"/>
      <c r="M186" s="130"/>
      <c r="N186" s="130"/>
    </row>
    <row r="187" spans="1:14" ht="20.100000000000001" hidden="1" customHeight="1">
      <c r="A187" s="500"/>
      <c r="B187" s="501"/>
      <c r="C187" s="555" t="s">
        <v>586</v>
      </c>
      <c r="D187" s="748" t="s">
        <v>834</v>
      </c>
      <c r="E187" s="749">
        <f t="shared" ref="E187" si="50">SUM(F187:J187)</f>
        <v>250000</v>
      </c>
      <c r="F187" s="749">
        <v>50000</v>
      </c>
      <c r="G187" s="749">
        <v>50000</v>
      </c>
      <c r="H187" s="749">
        <v>50000</v>
      </c>
      <c r="I187" s="749">
        <v>50000</v>
      </c>
      <c r="J187" s="749">
        <v>50000</v>
      </c>
    </row>
    <row r="188" spans="1:14" ht="20.100000000000001" hidden="1" customHeight="1">
      <c r="A188" s="500"/>
      <c r="B188" s="501"/>
      <c r="C188" s="555" t="s">
        <v>587</v>
      </c>
      <c r="D188" s="748" t="s">
        <v>588</v>
      </c>
      <c r="E188" s="749">
        <f t="shared" ref="E188:E189" si="51">SUM(F188:J188)</f>
        <v>250000</v>
      </c>
      <c r="F188" s="749">
        <v>50000</v>
      </c>
      <c r="G188" s="749">
        <v>50000</v>
      </c>
      <c r="H188" s="749">
        <v>50000</v>
      </c>
      <c r="I188" s="749">
        <v>50000</v>
      </c>
      <c r="J188" s="749">
        <v>50000</v>
      </c>
    </row>
    <row r="189" spans="1:14" ht="20.100000000000001" hidden="1" customHeight="1">
      <c r="A189" s="500"/>
      <c r="B189" s="501"/>
      <c r="C189" s="555" t="s">
        <v>589</v>
      </c>
      <c r="D189" s="748" t="s">
        <v>590</v>
      </c>
      <c r="E189" s="749">
        <f t="shared" si="51"/>
        <v>400000</v>
      </c>
      <c r="F189" s="749">
        <v>100000</v>
      </c>
      <c r="G189" s="749">
        <v>100000</v>
      </c>
      <c r="H189" s="749">
        <v>100000</v>
      </c>
      <c r="I189" s="749">
        <v>50000</v>
      </c>
      <c r="J189" s="749">
        <v>50000</v>
      </c>
    </row>
    <row r="191" spans="1:14" ht="20.100000000000001" customHeight="1">
      <c r="A191" s="517" t="s">
        <v>190</v>
      </c>
      <c r="B191" s="811" t="s">
        <v>591</v>
      </c>
      <c r="C191" s="812"/>
      <c r="D191" s="812"/>
      <c r="E191" s="518">
        <f>E192+E195</f>
        <v>7034010.9073305605</v>
      </c>
      <c r="F191" s="518">
        <f t="shared" ref="F191:J191" si="52">F192+F195</f>
        <v>1315200</v>
      </c>
      <c r="G191" s="518">
        <f t="shared" si="52"/>
        <v>1346723.04</v>
      </c>
      <c r="H191" s="518">
        <f t="shared" si="52"/>
        <v>1400591.9616</v>
      </c>
      <c r="I191" s="518">
        <f t="shared" si="52"/>
        <v>1456615.6400640002</v>
      </c>
      <c r="J191" s="518">
        <f t="shared" si="52"/>
        <v>1514880.2656665603</v>
      </c>
    </row>
    <row r="192" spans="1:14" ht="20.100000000000001" hidden="1" customHeight="1">
      <c r="A192" s="519" t="s">
        <v>192</v>
      </c>
      <c r="B192" s="520" t="s">
        <v>192</v>
      </c>
      <c r="C192" s="802" t="s">
        <v>592</v>
      </c>
      <c r="D192" s="803"/>
      <c r="E192" s="521"/>
      <c r="F192" s="521"/>
      <c r="G192" s="521"/>
      <c r="H192" s="521"/>
      <c r="I192" s="521"/>
      <c r="J192" s="521"/>
    </row>
    <row r="193" spans="1:15" ht="20.100000000000001" hidden="1" customHeight="1">
      <c r="A193" s="519" t="s">
        <v>193</v>
      </c>
      <c r="B193" s="520" t="s">
        <v>417</v>
      </c>
      <c r="C193" s="802" t="s">
        <v>195</v>
      </c>
      <c r="D193" s="803"/>
      <c r="E193" s="521"/>
      <c r="F193" s="521"/>
      <c r="G193" s="521"/>
      <c r="H193" s="521"/>
      <c r="I193" s="521"/>
      <c r="J193" s="521"/>
    </row>
    <row r="194" spans="1:15" ht="20.100000000000001" hidden="1" customHeight="1">
      <c r="A194" s="500" t="s">
        <v>593</v>
      </c>
      <c r="B194" s="501"/>
      <c r="C194" s="501"/>
      <c r="D194" s="522" t="s">
        <v>594</v>
      </c>
      <c r="E194" s="473"/>
      <c r="F194" s="473"/>
      <c r="G194" s="473"/>
      <c r="H194" s="473"/>
      <c r="I194" s="473"/>
      <c r="J194" s="473"/>
      <c r="N194" s="565"/>
    </row>
    <row r="195" spans="1:15" ht="20.100000000000001" customHeight="1">
      <c r="A195" s="519" t="s">
        <v>192</v>
      </c>
      <c r="B195" s="520" t="s">
        <v>192</v>
      </c>
      <c r="C195" s="802" t="s">
        <v>595</v>
      </c>
      <c r="D195" s="803"/>
      <c r="E195" s="523">
        <f>E197+E199+E201+E203+E205</f>
        <v>7034010.9073305605</v>
      </c>
      <c r="F195" s="523">
        <f>1244727+27719+42754</f>
        <v>1315200</v>
      </c>
      <c r="G195" s="523">
        <v>1346723.04</v>
      </c>
      <c r="H195" s="523">
        <v>1400591.9616</v>
      </c>
      <c r="I195" s="523">
        <v>1456615.6400640002</v>
      </c>
      <c r="J195" s="523">
        <v>1514880.2656665603</v>
      </c>
      <c r="L195" s="616"/>
      <c r="M195" s="747"/>
      <c r="N195" s="616"/>
    </row>
    <row r="196" spans="1:15" ht="20.100000000000001" customHeight="1">
      <c r="A196" s="524" t="s">
        <v>193</v>
      </c>
      <c r="B196" s="525" t="s">
        <v>417</v>
      </c>
      <c r="C196" s="847" t="s">
        <v>195</v>
      </c>
      <c r="D196" s="848"/>
      <c r="E196" s="526"/>
      <c r="F196" s="526"/>
      <c r="G196" s="526"/>
      <c r="H196" s="526"/>
      <c r="I196" s="526"/>
      <c r="J196" s="526"/>
      <c r="L196" s="616"/>
      <c r="M196" s="747"/>
      <c r="N196" s="616"/>
      <c r="O196" s="747"/>
    </row>
    <row r="197" spans="1:15" ht="20.100000000000001" customHeight="1">
      <c r="A197" s="792" t="s">
        <v>596</v>
      </c>
      <c r="B197" s="792"/>
      <c r="C197" s="860" t="s">
        <v>597</v>
      </c>
      <c r="D197" s="860"/>
      <c r="E197" s="528">
        <f t="shared" ref="E197:J197" si="53">E198</f>
        <v>70340.109073305604</v>
      </c>
      <c r="F197" s="528">
        <f t="shared" si="53"/>
        <v>13152</v>
      </c>
      <c r="G197" s="528">
        <f t="shared" si="53"/>
        <v>13467.2304</v>
      </c>
      <c r="H197" s="528">
        <f t="shared" si="53"/>
        <v>14005.919616000001</v>
      </c>
      <c r="I197" s="528">
        <f t="shared" si="53"/>
        <v>14566.156400640002</v>
      </c>
      <c r="J197" s="528">
        <f t="shared" si="53"/>
        <v>15148.802656665603</v>
      </c>
      <c r="L197" s="616"/>
      <c r="M197" s="565"/>
      <c r="N197" s="616"/>
      <c r="O197" s="565"/>
    </row>
    <row r="198" spans="1:15" ht="20.100000000000001" hidden="1" customHeight="1">
      <c r="A198" s="529">
        <v>0.01</v>
      </c>
      <c r="B198" s="530"/>
      <c r="C198" s="530" t="s">
        <v>598</v>
      </c>
      <c r="D198" s="798" t="s">
        <v>599</v>
      </c>
      <c r="E198" s="480">
        <f t="shared" ref="E198" si="54">SUM(F198:J198)</f>
        <v>70340.109073305604</v>
      </c>
      <c r="F198" s="480">
        <f>$A$198*F195</f>
        <v>13152</v>
      </c>
      <c r="G198" s="480">
        <f>$A$198*G195</f>
        <v>13467.2304</v>
      </c>
      <c r="H198" s="480">
        <f>$A$198*H195</f>
        <v>14005.919616000001</v>
      </c>
      <c r="I198" s="480">
        <f>$A$198*I195</f>
        <v>14566.156400640002</v>
      </c>
      <c r="J198" s="480">
        <f>$A$198*J195</f>
        <v>15148.802656665603</v>
      </c>
      <c r="L198" s="616"/>
      <c r="N198" s="616"/>
    </row>
    <row r="199" spans="1:15" ht="20.100000000000001" customHeight="1">
      <c r="A199" s="792" t="s">
        <v>600</v>
      </c>
      <c r="B199" s="792"/>
      <c r="C199" s="860" t="s">
        <v>601</v>
      </c>
      <c r="D199" s="860"/>
      <c r="E199" s="528">
        <f>E200</f>
        <v>1266121.9633195009</v>
      </c>
      <c r="F199" s="528">
        <f t="shared" ref="F199:J199" si="55">F200</f>
        <v>236736</v>
      </c>
      <c r="G199" s="528">
        <f t="shared" si="55"/>
        <v>242410.14720000001</v>
      </c>
      <c r="H199" s="528">
        <f t="shared" si="55"/>
        <v>252106.55308799999</v>
      </c>
      <c r="I199" s="528">
        <f t="shared" si="55"/>
        <v>262190.81521152001</v>
      </c>
      <c r="J199" s="528">
        <f t="shared" si="55"/>
        <v>272678.44781998085</v>
      </c>
      <c r="L199" s="616"/>
      <c r="M199" s="747"/>
      <c r="N199" s="616"/>
      <c r="O199" s="747"/>
    </row>
    <row r="200" spans="1:15" ht="20.100000000000001" hidden="1" customHeight="1">
      <c r="A200" s="529">
        <v>0.18</v>
      </c>
      <c r="B200" s="530"/>
      <c r="C200" s="530" t="s">
        <v>602</v>
      </c>
      <c r="D200" s="798" t="s">
        <v>603</v>
      </c>
      <c r="E200" s="480">
        <f t="shared" ref="E200" si="56">SUM(F200:J200)</f>
        <v>1266121.9633195009</v>
      </c>
      <c r="F200" s="480">
        <f>$A$200*F195</f>
        <v>236736</v>
      </c>
      <c r="G200" s="480">
        <f>$A$200*G195</f>
        <v>242410.14720000001</v>
      </c>
      <c r="H200" s="480">
        <f>$A$200*H195</f>
        <v>252106.55308799999</v>
      </c>
      <c r="I200" s="480">
        <f>$A$200*I195</f>
        <v>262190.81521152001</v>
      </c>
      <c r="J200" s="480">
        <f>$A$200*J195</f>
        <v>272678.44781998085</v>
      </c>
      <c r="L200" s="616"/>
      <c r="N200" s="616"/>
    </row>
    <row r="201" spans="1:15" ht="20.100000000000001" customHeight="1">
      <c r="A201" s="792" t="s">
        <v>604</v>
      </c>
      <c r="B201" s="792"/>
      <c r="C201" s="860" t="s">
        <v>605</v>
      </c>
      <c r="D201" s="860"/>
      <c r="E201" s="528">
        <f>E202</f>
        <v>5275508.1804979201</v>
      </c>
      <c r="F201" s="528">
        <f t="shared" ref="F201:J201" si="57">F202</f>
        <v>986400</v>
      </c>
      <c r="G201" s="528">
        <f t="shared" si="57"/>
        <v>1010042.28</v>
      </c>
      <c r="H201" s="528">
        <f t="shared" si="57"/>
        <v>1050443.9712</v>
      </c>
      <c r="I201" s="528">
        <f t="shared" si="57"/>
        <v>1092461.7300480001</v>
      </c>
      <c r="J201" s="528">
        <f t="shared" si="57"/>
        <v>1136160.1992499202</v>
      </c>
    </row>
    <row r="202" spans="1:15" ht="20.100000000000001" hidden="1" customHeight="1">
      <c r="A202" s="529">
        <v>0.75</v>
      </c>
      <c r="B202" s="530"/>
      <c r="C202" s="530" t="s">
        <v>606</v>
      </c>
      <c r="D202" s="798" t="s">
        <v>607</v>
      </c>
      <c r="E202" s="480">
        <f t="shared" ref="E202" si="58">SUM(F202:J202)</f>
        <v>5275508.1804979201</v>
      </c>
      <c r="F202" s="480">
        <f>$A$202*F195</f>
        <v>986400</v>
      </c>
      <c r="G202" s="480">
        <f>$A$202*G195</f>
        <v>1010042.28</v>
      </c>
      <c r="H202" s="480">
        <f>$A$202*H195</f>
        <v>1050443.9712</v>
      </c>
      <c r="I202" s="480">
        <f>$A$202*I195</f>
        <v>1092461.7300480001</v>
      </c>
      <c r="J202" s="480">
        <f>$A$202*J195</f>
        <v>1136160.1992499202</v>
      </c>
    </row>
    <row r="203" spans="1:15" ht="20.100000000000001" customHeight="1">
      <c r="A203" s="792" t="s">
        <v>608</v>
      </c>
      <c r="B203" s="792"/>
      <c r="C203" s="860" t="s">
        <v>609</v>
      </c>
      <c r="D203" s="860"/>
      <c r="E203" s="528">
        <f>E204</f>
        <v>70340.109073305604</v>
      </c>
      <c r="F203" s="528">
        <f t="shared" ref="F203:J203" si="59">F204</f>
        <v>13152</v>
      </c>
      <c r="G203" s="528">
        <f t="shared" si="59"/>
        <v>13467.2304</v>
      </c>
      <c r="H203" s="528">
        <f t="shared" si="59"/>
        <v>14005.919616000001</v>
      </c>
      <c r="I203" s="528">
        <f t="shared" si="59"/>
        <v>14566.156400640002</v>
      </c>
      <c r="J203" s="528">
        <f t="shared" si="59"/>
        <v>15148.802656665603</v>
      </c>
    </row>
    <row r="204" spans="1:15" ht="20.100000000000001" hidden="1" customHeight="1">
      <c r="A204" s="529">
        <v>0.01</v>
      </c>
      <c r="B204" s="530"/>
      <c r="C204" s="530" t="s">
        <v>610</v>
      </c>
      <c r="D204" s="798" t="s">
        <v>611</v>
      </c>
      <c r="E204" s="480">
        <f t="shared" ref="E204" si="60">SUM(F204:J204)</f>
        <v>70340.109073305604</v>
      </c>
      <c r="F204" s="480">
        <f>$A$204*F195</f>
        <v>13152</v>
      </c>
      <c r="G204" s="480">
        <f>$A$204*G195</f>
        <v>13467.2304</v>
      </c>
      <c r="H204" s="480">
        <f>$A$204*H195</f>
        <v>14005.919616000001</v>
      </c>
      <c r="I204" s="480">
        <f>$A$204*I195</f>
        <v>14566.156400640002</v>
      </c>
      <c r="J204" s="480">
        <f>$A$204*J195</f>
        <v>15148.802656665603</v>
      </c>
    </row>
    <row r="205" spans="1:15" ht="20.100000000000001" customHeight="1">
      <c r="A205" s="792" t="s">
        <v>612</v>
      </c>
      <c r="B205" s="792"/>
      <c r="C205" s="860" t="s">
        <v>613</v>
      </c>
      <c r="D205" s="860"/>
      <c r="E205" s="528">
        <f>E206</f>
        <v>351700.54536652809</v>
      </c>
      <c r="F205" s="528">
        <f t="shared" ref="F205:J205" si="61">F206</f>
        <v>65760</v>
      </c>
      <c r="G205" s="528">
        <f t="shared" si="61"/>
        <v>67336.152000000002</v>
      </c>
      <c r="H205" s="528">
        <f t="shared" si="61"/>
        <v>70029.598080000011</v>
      </c>
      <c r="I205" s="528">
        <f t="shared" si="61"/>
        <v>72830.782003200016</v>
      </c>
      <c r="J205" s="528">
        <f t="shared" si="61"/>
        <v>75744.013283328022</v>
      </c>
    </row>
    <row r="206" spans="1:15" ht="20.100000000000001" hidden="1" customHeight="1">
      <c r="A206" s="529">
        <v>0.05</v>
      </c>
      <c r="B206" s="530"/>
      <c r="C206" s="796" t="s">
        <v>614</v>
      </c>
      <c r="D206" s="797" t="s">
        <v>615</v>
      </c>
      <c r="E206" s="480">
        <f t="shared" ref="E206" si="62">SUM(F206:J206)</f>
        <v>351700.54536652809</v>
      </c>
      <c r="F206" s="480">
        <f>$A$206*F195</f>
        <v>65760</v>
      </c>
      <c r="G206" s="480">
        <f>$A$206*G195</f>
        <v>67336.152000000002</v>
      </c>
      <c r="H206" s="480">
        <f>$A$206*H195</f>
        <v>70029.598080000011</v>
      </c>
      <c r="I206" s="480">
        <f>$A$206*I195</f>
        <v>72830.782003200016</v>
      </c>
      <c r="J206" s="480">
        <f>$A$206*J195</f>
        <v>75744.013283328022</v>
      </c>
    </row>
    <row r="207" spans="1:15" hidden="1">
      <c r="A207" s="531">
        <v>2021</v>
      </c>
      <c r="B207" s="532" t="s">
        <v>616</v>
      </c>
      <c r="C207" s="532"/>
      <c r="D207" s="532"/>
    </row>
    <row r="208" spans="1:15">
      <c r="F208" s="462"/>
    </row>
  </sheetData>
  <mergeCells count="108">
    <mergeCell ref="C197:D197"/>
    <mergeCell ref="C199:D199"/>
    <mergeCell ref="C201:D201"/>
    <mergeCell ref="C203:D203"/>
    <mergeCell ref="C205:D205"/>
    <mergeCell ref="C186:D186"/>
    <mergeCell ref="B191:D191"/>
    <mergeCell ref="C192:D192"/>
    <mergeCell ref="C193:D193"/>
    <mergeCell ref="C195:D195"/>
    <mergeCell ref="C196:D196"/>
    <mergeCell ref="B176:D176"/>
    <mergeCell ref="C177:D177"/>
    <mergeCell ref="C178:D178"/>
    <mergeCell ref="C179:D179"/>
    <mergeCell ref="C183:D183"/>
    <mergeCell ref="B184:D184"/>
    <mergeCell ref="C161:D161"/>
    <mergeCell ref="C162:D162"/>
    <mergeCell ref="C164:D164"/>
    <mergeCell ref="C167:D167"/>
    <mergeCell ref="C171:D171"/>
    <mergeCell ref="C173:D173"/>
    <mergeCell ref="C166:D166"/>
    <mergeCell ref="C150:D150"/>
    <mergeCell ref="C151:D151"/>
    <mergeCell ref="C154:D154"/>
    <mergeCell ref="C156:D156"/>
    <mergeCell ref="C158:D158"/>
    <mergeCell ref="C160:D160"/>
    <mergeCell ref="C139:D139"/>
    <mergeCell ref="C141:D141"/>
    <mergeCell ref="C143:D143"/>
    <mergeCell ref="C145:D145"/>
    <mergeCell ref="C147:D147"/>
    <mergeCell ref="C149:D149"/>
    <mergeCell ref="B126:D126"/>
    <mergeCell ref="C127:D127"/>
    <mergeCell ref="C128:D128"/>
    <mergeCell ref="C129:D129"/>
    <mergeCell ref="C131:D131"/>
    <mergeCell ref="B134:D134"/>
    <mergeCell ref="C115:D115"/>
    <mergeCell ref="C116:D116"/>
    <mergeCell ref="C117:D117"/>
    <mergeCell ref="C119:D119"/>
    <mergeCell ref="C121:D121"/>
    <mergeCell ref="C123:D123"/>
    <mergeCell ref="C105:D105"/>
    <mergeCell ref="C106:D106"/>
    <mergeCell ref="C107:D107"/>
    <mergeCell ref="C109:D109"/>
    <mergeCell ref="C111:D111"/>
    <mergeCell ref="C113:D113"/>
    <mergeCell ref="C95:D95"/>
    <mergeCell ref="C97:D97"/>
    <mergeCell ref="C98:D98"/>
    <mergeCell ref="C99:D99"/>
    <mergeCell ref="C101:D101"/>
    <mergeCell ref="C103:D103"/>
    <mergeCell ref="C81:D81"/>
    <mergeCell ref="C82:D82"/>
    <mergeCell ref="C83:D83"/>
    <mergeCell ref="C85:D85"/>
    <mergeCell ref="C87:D87"/>
    <mergeCell ref="C89:D89"/>
    <mergeCell ref="C71:D71"/>
    <mergeCell ref="C73:D73"/>
    <mergeCell ref="C75:D75"/>
    <mergeCell ref="C77:D77"/>
    <mergeCell ref="B79:D79"/>
    <mergeCell ref="B80:D80"/>
    <mergeCell ref="C62:D62"/>
    <mergeCell ref="C63:D63"/>
    <mergeCell ref="C65:D65"/>
    <mergeCell ref="C66:D66"/>
    <mergeCell ref="C67:D67"/>
    <mergeCell ref="C69:D69"/>
    <mergeCell ref="C53:D53"/>
    <mergeCell ref="C55:D55"/>
    <mergeCell ref="C56:D56"/>
    <mergeCell ref="C57:D57"/>
    <mergeCell ref="C59:D59"/>
    <mergeCell ref="C61:D61"/>
    <mergeCell ref="C43:D43"/>
    <mergeCell ref="C45:D45"/>
    <mergeCell ref="C47:D47"/>
    <mergeCell ref="C48:D48"/>
    <mergeCell ref="C49:D49"/>
    <mergeCell ref="C51:D51"/>
    <mergeCell ref="C33:D33"/>
    <mergeCell ref="C35:D35"/>
    <mergeCell ref="C37:D37"/>
    <mergeCell ref="C38:D38"/>
    <mergeCell ref="C39:D39"/>
    <mergeCell ref="C41:D41"/>
    <mergeCell ref="C23:D23"/>
    <mergeCell ref="C25:D25"/>
    <mergeCell ref="C27:D27"/>
    <mergeCell ref="C28:D28"/>
    <mergeCell ref="C29:D29"/>
    <mergeCell ref="C31:D31"/>
    <mergeCell ref="A1:J1"/>
    <mergeCell ref="A5:D5"/>
    <mergeCell ref="B17:D17"/>
    <mergeCell ref="C18:D18"/>
    <mergeCell ref="C19:D19"/>
    <mergeCell ref="C20:D20"/>
  </mergeCells>
  <printOptions horizontalCentered="1"/>
  <pageMargins left="0.51181102362204722" right="0.51181102362204722" top="0.78740157480314965" bottom="0.78740157480314965" header="0.31496062992125984" footer="0.31496062992125984"/>
  <pageSetup paperSize="9" scale="64" orientation="portrait" r:id="rId1"/>
  <headerFooter>
    <oddFooter>&amp;L&amp;F&amp;C&amp;A&amp;R&amp;P/&amp;N</oddFooter>
  </headerFooter>
  <rowBreaks count="1" manualBreakCount="1">
    <brk id="50" max="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204"/>
  <sheetViews>
    <sheetView zoomScaleNormal="100" workbookViewId="0">
      <selection activeCell="E199" sqref="E199"/>
    </sheetView>
  </sheetViews>
  <sheetFormatPr defaultRowHeight="15"/>
  <cols>
    <col min="1" max="3" width="11.875" style="130" customWidth="1"/>
    <col min="4" max="4" width="65.125" style="130" customWidth="1"/>
    <col min="5" max="5" width="11.125" style="130" customWidth="1"/>
    <col min="6" max="16384" width="9" style="130"/>
  </cols>
  <sheetData>
    <row r="1" spans="1:5" s="129" customFormat="1" ht="39.950000000000003" customHeight="1">
      <c r="A1" s="804" t="s">
        <v>890</v>
      </c>
      <c r="B1" s="804"/>
      <c r="C1" s="804"/>
      <c r="D1" s="804"/>
      <c r="E1" s="804"/>
    </row>
    <row r="2" spans="1:5">
      <c r="A2" s="443" t="s">
        <v>413</v>
      </c>
      <c r="B2" s="443"/>
      <c r="C2" s="443"/>
      <c r="D2" s="443"/>
      <c r="E2" s="728">
        <v>2021</v>
      </c>
    </row>
    <row r="3" spans="1:5">
      <c r="A3" s="443"/>
      <c r="B3" s="443"/>
      <c r="C3" s="443"/>
      <c r="D3" s="443"/>
      <c r="E3" s="728" t="s">
        <v>173</v>
      </c>
    </row>
    <row r="4" spans="1:5" s="129" customFormat="1" ht="20.100000000000001" customHeight="1">
      <c r="A4" s="822" t="s">
        <v>414</v>
      </c>
      <c r="B4" s="822"/>
      <c r="C4" s="822"/>
      <c r="D4" s="822"/>
      <c r="E4" s="445">
        <v>80177675.760000005</v>
      </c>
    </row>
    <row r="5" spans="1:5" ht="5.0999999999999996" customHeight="1"/>
    <row r="6" spans="1:5">
      <c r="A6" s="443" t="s">
        <v>190</v>
      </c>
      <c r="B6" s="443" t="s">
        <v>415</v>
      </c>
      <c r="C6" s="443" t="s">
        <v>416</v>
      </c>
      <c r="D6" s="443" t="s">
        <v>317</v>
      </c>
      <c r="E6" s="728">
        <v>2021</v>
      </c>
    </row>
    <row r="7" spans="1:5">
      <c r="A7" s="443"/>
      <c r="B7" s="443"/>
      <c r="C7" s="443"/>
      <c r="D7" s="443"/>
      <c r="E7" s="728" t="s">
        <v>173</v>
      </c>
    </row>
    <row r="8" spans="1:5" ht="5.0999999999999996" customHeight="1"/>
    <row r="9" spans="1:5">
      <c r="A9" s="446">
        <v>1</v>
      </c>
      <c r="B9" s="447" t="str">
        <f>B16</f>
        <v>GESTÃO DE RECURSOS HÍDRICOS</v>
      </c>
      <c r="C9" s="447"/>
      <c r="D9" s="447"/>
      <c r="E9" s="448">
        <f t="shared" ref="E9" si="0">E16</f>
        <v>6105000</v>
      </c>
    </row>
    <row r="10" spans="1:5">
      <c r="A10" s="449">
        <v>2</v>
      </c>
      <c r="B10" s="450" t="str">
        <f>B123</f>
        <v>AGENDA SETORIAL</v>
      </c>
      <c r="C10" s="451"/>
      <c r="D10" s="451"/>
      <c r="E10" s="452">
        <f t="shared" ref="E10" si="1">E123</f>
        <v>32740000</v>
      </c>
    </row>
    <row r="11" spans="1:5">
      <c r="A11" s="453">
        <v>3</v>
      </c>
      <c r="B11" s="454" t="str">
        <f>B173</f>
        <v>APOIO AO COMITÊ DE BACIA HIDROGRÁFICA</v>
      </c>
      <c r="C11" s="455"/>
      <c r="D11" s="455"/>
      <c r="E11" s="456">
        <f>E173</f>
        <v>1020000</v>
      </c>
    </row>
    <row r="12" spans="1:5">
      <c r="A12" s="457">
        <v>4</v>
      </c>
      <c r="B12" s="458" t="str">
        <f>B187</f>
        <v>MANUTENÇÃO DO COMITÊ DE BACIA HIDROGRÁFICA E DA ENTIDADE DELEGATÁRIA</v>
      </c>
      <c r="C12" s="459"/>
      <c r="D12" s="459"/>
      <c r="E12" s="460">
        <f>E187</f>
        <v>1315200</v>
      </c>
    </row>
    <row r="13" spans="1:5" ht="5.0999999999999996" customHeight="1"/>
    <row r="14" spans="1:5">
      <c r="A14" s="443"/>
      <c r="B14" s="443" t="s">
        <v>228</v>
      </c>
      <c r="C14" s="443"/>
      <c r="D14" s="443"/>
      <c r="E14" s="461">
        <f>SUM(E9:E12)</f>
        <v>41180200</v>
      </c>
    </row>
    <row r="15" spans="1:5" ht="9.9499999999999993" customHeight="1"/>
    <row r="16" spans="1:5">
      <c r="A16" s="463" t="s">
        <v>190</v>
      </c>
      <c r="B16" s="823" t="s">
        <v>191</v>
      </c>
      <c r="C16" s="824"/>
      <c r="D16" s="824"/>
      <c r="E16" s="464">
        <f>E17+E26+E36+E46+E54+E60+E64+E78+E94+E112</f>
        <v>6105000</v>
      </c>
    </row>
    <row r="17" spans="1:5" ht="15" customHeight="1">
      <c r="A17" s="465" t="s">
        <v>192</v>
      </c>
      <c r="B17" s="466" t="s">
        <v>192</v>
      </c>
      <c r="C17" s="813" t="s">
        <v>351</v>
      </c>
      <c r="D17" s="814"/>
      <c r="E17" s="475">
        <f>E19+E22+E24</f>
        <v>150000</v>
      </c>
    </row>
    <row r="18" spans="1:5" ht="15" customHeight="1">
      <c r="A18" s="618" t="s">
        <v>193</v>
      </c>
      <c r="B18" s="619" t="s">
        <v>417</v>
      </c>
      <c r="C18" s="813" t="s">
        <v>195</v>
      </c>
      <c r="D18" s="814"/>
      <c r="E18" s="467"/>
    </row>
    <row r="19" spans="1:5" ht="15" customHeight="1">
      <c r="A19" s="621" t="s">
        <v>194</v>
      </c>
      <c r="B19" s="622"/>
      <c r="C19" s="825" t="s">
        <v>352</v>
      </c>
      <c r="D19" s="826"/>
      <c r="E19" s="478">
        <f>E21</f>
        <v>150000</v>
      </c>
    </row>
    <row r="20" spans="1:5" ht="15" customHeight="1">
      <c r="A20" s="623"/>
      <c r="B20" s="623"/>
      <c r="C20" s="732" t="s">
        <v>418</v>
      </c>
      <c r="D20" s="733" t="str">
        <f>'Ação 1.1.1 '!D34:M34</f>
        <v>Acompanhamento da atualização e revisão do Plano de Recursos Hídricos (PRH)</v>
      </c>
      <c r="E20" s="731"/>
    </row>
    <row r="21" spans="1:5" ht="15" customHeight="1">
      <c r="A21" s="623"/>
      <c r="B21" s="623"/>
      <c r="C21" s="732"/>
      <c r="D21" s="733" t="s">
        <v>479</v>
      </c>
      <c r="E21" s="731">
        <f>'PAP 2021 a 2025'!F21</f>
        <v>150000</v>
      </c>
    </row>
    <row r="22" spans="1:5" ht="15" customHeight="1">
      <c r="A22" s="621" t="s">
        <v>196</v>
      </c>
      <c r="B22" s="624"/>
      <c r="C22" s="867" t="s">
        <v>197</v>
      </c>
      <c r="D22" s="868"/>
      <c r="E22" s="470"/>
    </row>
    <row r="23" spans="1:5" ht="15" customHeight="1">
      <c r="A23" s="623"/>
      <c r="B23" s="623"/>
      <c r="C23" s="732" t="s">
        <v>419</v>
      </c>
      <c r="D23" s="733" t="s">
        <v>420</v>
      </c>
      <c r="E23" s="731"/>
    </row>
    <row r="24" spans="1:5" ht="15" customHeight="1">
      <c r="A24" s="621" t="s">
        <v>198</v>
      </c>
      <c r="B24" s="624"/>
      <c r="C24" s="869" t="s">
        <v>199</v>
      </c>
      <c r="D24" s="870"/>
      <c r="E24" s="470"/>
    </row>
    <row r="25" spans="1:5" ht="15" customHeight="1">
      <c r="A25" s="623"/>
      <c r="B25" s="623"/>
      <c r="C25" s="732" t="s">
        <v>421</v>
      </c>
      <c r="D25" s="733" t="s">
        <v>617</v>
      </c>
      <c r="E25" s="731"/>
    </row>
    <row r="26" spans="1:5" ht="15" hidden="1" customHeight="1">
      <c r="A26" s="620" t="s">
        <v>192</v>
      </c>
      <c r="B26" s="620" t="s">
        <v>192</v>
      </c>
      <c r="C26" s="813" t="s">
        <v>422</v>
      </c>
      <c r="D26" s="814"/>
      <c r="E26" s="467"/>
    </row>
    <row r="27" spans="1:5" ht="15" hidden="1" customHeight="1">
      <c r="A27" s="465" t="s">
        <v>193</v>
      </c>
      <c r="B27" s="466" t="s">
        <v>417</v>
      </c>
      <c r="C27" s="813" t="s">
        <v>195</v>
      </c>
      <c r="D27" s="814"/>
      <c r="E27" s="467"/>
    </row>
    <row r="28" spans="1:5" ht="30" hidden="1" customHeight="1">
      <c r="A28" s="476" t="s">
        <v>423</v>
      </c>
      <c r="B28" s="477" t="s">
        <v>778</v>
      </c>
      <c r="C28" s="827" t="s">
        <v>424</v>
      </c>
      <c r="D28" s="828"/>
      <c r="E28" s="478"/>
    </row>
    <row r="29" spans="1:5" hidden="1">
      <c r="A29" s="471"/>
      <c r="B29" s="131"/>
      <c r="C29" s="131"/>
      <c r="D29" s="472"/>
      <c r="E29" s="473"/>
    </row>
    <row r="30" spans="1:5" ht="30" hidden="1" customHeight="1">
      <c r="A30" s="476" t="s">
        <v>425</v>
      </c>
      <c r="B30" s="477"/>
      <c r="C30" s="827" t="s">
        <v>426</v>
      </c>
      <c r="D30" s="828"/>
      <c r="E30" s="478"/>
    </row>
    <row r="31" spans="1:5" hidden="1">
      <c r="A31" s="471"/>
      <c r="B31" s="131"/>
      <c r="C31" s="131"/>
      <c r="D31" s="472"/>
      <c r="E31" s="473"/>
    </row>
    <row r="32" spans="1:5" ht="20.100000000000001" hidden="1" customHeight="1">
      <c r="A32" s="476" t="s">
        <v>427</v>
      </c>
      <c r="B32" s="477"/>
      <c r="C32" s="827" t="s">
        <v>428</v>
      </c>
      <c r="D32" s="828"/>
      <c r="E32" s="478"/>
    </row>
    <row r="33" spans="1:5" hidden="1">
      <c r="A33" s="471"/>
      <c r="B33" s="131"/>
      <c r="C33" s="131"/>
      <c r="D33" s="474"/>
      <c r="E33" s="473"/>
    </row>
    <row r="34" spans="1:5" ht="20.100000000000001" hidden="1" customHeight="1">
      <c r="A34" s="476" t="s">
        <v>429</v>
      </c>
      <c r="B34" s="477"/>
      <c r="C34" s="827" t="s">
        <v>430</v>
      </c>
      <c r="D34" s="828"/>
      <c r="E34" s="478"/>
    </row>
    <row r="35" spans="1:5" hidden="1">
      <c r="A35" s="471"/>
      <c r="B35" s="131"/>
      <c r="C35" s="131"/>
      <c r="D35" s="611"/>
      <c r="E35" s="473"/>
    </row>
    <row r="36" spans="1:5" hidden="1">
      <c r="A36" s="465" t="s">
        <v>192</v>
      </c>
      <c r="B36" s="466" t="s">
        <v>192</v>
      </c>
      <c r="C36" s="813" t="s">
        <v>431</v>
      </c>
      <c r="D36" s="814"/>
      <c r="E36" s="467"/>
    </row>
    <row r="37" spans="1:5" hidden="1">
      <c r="A37" s="465" t="s">
        <v>193</v>
      </c>
      <c r="B37" s="466" t="s">
        <v>417</v>
      </c>
      <c r="C37" s="813" t="s">
        <v>195</v>
      </c>
      <c r="D37" s="814"/>
      <c r="E37" s="467"/>
    </row>
    <row r="38" spans="1:5" ht="20.100000000000001" hidden="1" customHeight="1">
      <c r="A38" s="476" t="s">
        <v>432</v>
      </c>
      <c r="B38" s="477" t="s">
        <v>779</v>
      </c>
      <c r="C38" s="827" t="s">
        <v>433</v>
      </c>
      <c r="D38" s="828"/>
      <c r="E38" s="478"/>
    </row>
    <row r="39" spans="1:5" hidden="1">
      <c r="A39" s="471"/>
      <c r="B39" s="131"/>
      <c r="C39" s="131"/>
      <c r="D39" s="474"/>
      <c r="E39" s="473"/>
    </row>
    <row r="40" spans="1:5" ht="20.100000000000001" hidden="1" customHeight="1">
      <c r="A40" s="476" t="s">
        <v>434</v>
      </c>
      <c r="B40" s="477"/>
      <c r="C40" s="827" t="s">
        <v>435</v>
      </c>
      <c r="D40" s="828"/>
      <c r="E40" s="478"/>
    </row>
    <row r="41" spans="1:5" hidden="1">
      <c r="A41" s="471"/>
      <c r="B41" s="131"/>
      <c r="C41" s="131"/>
      <c r="D41" s="474"/>
      <c r="E41" s="473"/>
    </row>
    <row r="42" spans="1:5" ht="20.100000000000001" hidden="1" customHeight="1">
      <c r="A42" s="476" t="s">
        <v>436</v>
      </c>
      <c r="B42" s="477" t="s">
        <v>780</v>
      </c>
      <c r="C42" s="827" t="s">
        <v>437</v>
      </c>
      <c r="D42" s="828"/>
      <c r="E42" s="478"/>
    </row>
    <row r="43" spans="1:5" hidden="1">
      <c r="A43" s="471"/>
      <c r="B43" s="131"/>
      <c r="C43" s="131"/>
      <c r="D43" s="474"/>
      <c r="E43" s="473"/>
    </row>
    <row r="44" spans="1:5" ht="20.100000000000001" hidden="1" customHeight="1">
      <c r="A44" s="476" t="s">
        <v>438</v>
      </c>
      <c r="B44" s="477"/>
      <c r="C44" s="827" t="s">
        <v>439</v>
      </c>
      <c r="D44" s="828"/>
      <c r="E44" s="478"/>
    </row>
    <row r="45" spans="1:5" hidden="1">
      <c r="A45" s="471"/>
      <c r="B45" s="131"/>
      <c r="C45" s="131"/>
      <c r="D45" s="612"/>
      <c r="E45" s="473"/>
    </row>
    <row r="46" spans="1:5">
      <c r="A46" s="465" t="s">
        <v>192</v>
      </c>
      <c r="B46" s="466" t="s">
        <v>192</v>
      </c>
      <c r="C46" s="813" t="s">
        <v>440</v>
      </c>
      <c r="D46" s="814"/>
      <c r="E46" s="475">
        <f t="shared" ref="E46" si="2">E48+E50+E52</f>
        <v>600000</v>
      </c>
    </row>
    <row r="47" spans="1:5">
      <c r="A47" s="465" t="s">
        <v>193</v>
      </c>
      <c r="B47" s="466" t="s">
        <v>417</v>
      </c>
      <c r="C47" s="813" t="s">
        <v>195</v>
      </c>
      <c r="D47" s="814"/>
      <c r="E47" s="467"/>
    </row>
    <row r="48" spans="1:5" ht="30" customHeight="1">
      <c r="A48" s="476" t="s">
        <v>441</v>
      </c>
      <c r="B48" s="477" t="s">
        <v>644</v>
      </c>
      <c r="C48" s="827" t="s">
        <v>442</v>
      </c>
      <c r="D48" s="828"/>
      <c r="E48" s="478">
        <f t="shared" ref="E48" si="3">E49</f>
        <v>600000</v>
      </c>
    </row>
    <row r="49" spans="1:5" ht="26.25" customHeight="1">
      <c r="A49" s="623"/>
      <c r="B49" s="623"/>
      <c r="C49" s="732" t="s">
        <v>443</v>
      </c>
      <c r="D49" s="733" t="s">
        <v>655</v>
      </c>
      <c r="E49" s="731">
        <f>'PAP 2021 a 2025'!F50</f>
        <v>600000</v>
      </c>
    </row>
    <row r="50" spans="1:5" ht="20.100000000000001" hidden="1" customHeight="1">
      <c r="A50" s="476" t="s">
        <v>444</v>
      </c>
      <c r="B50" s="477"/>
      <c r="C50" s="827" t="s">
        <v>445</v>
      </c>
      <c r="D50" s="828"/>
      <c r="E50" s="478">
        <f t="shared" ref="E50" si="4">E51</f>
        <v>0</v>
      </c>
    </row>
    <row r="51" spans="1:5" hidden="1">
      <c r="A51" s="471"/>
      <c r="B51" s="131"/>
      <c r="C51" s="555" t="s">
        <v>446</v>
      </c>
      <c r="D51" s="556" t="s">
        <v>447</v>
      </c>
      <c r="E51" s="480">
        <v>0</v>
      </c>
    </row>
    <row r="52" spans="1:5" ht="20.100000000000001" hidden="1" customHeight="1">
      <c r="A52" s="476" t="s">
        <v>448</v>
      </c>
      <c r="B52" s="477"/>
      <c r="C52" s="827" t="s">
        <v>449</v>
      </c>
      <c r="D52" s="828"/>
      <c r="E52" s="478">
        <f>E53</f>
        <v>0</v>
      </c>
    </row>
    <row r="53" spans="1:5" hidden="1">
      <c r="A53" s="471"/>
      <c r="B53" s="131"/>
      <c r="C53" s="131"/>
      <c r="D53" s="131"/>
      <c r="E53" s="131"/>
    </row>
    <row r="54" spans="1:5">
      <c r="A54" s="465" t="s">
        <v>192</v>
      </c>
      <c r="B54" s="466" t="s">
        <v>192</v>
      </c>
      <c r="C54" s="813" t="s">
        <v>287</v>
      </c>
      <c r="D54" s="814"/>
      <c r="E54" s="467"/>
    </row>
    <row r="55" spans="1:5">
      <c r="A55" s="465" t="s">
        <v>193</v>
      </c>
      <c r="B55" s="466" t="s">
        <v>417</v>
      </c>
      <c r="C55" s="813" t="s">
        <v>195</v>
      </c>
      <c r="D55" s="814"/>
      <c r="E55" s="467"/>
    </row>
    <row r="56" spans="1:5" ht="30" customHeight="1">
      <c r="A56" s="476" t="s">
        <v>200</v>
      </c>
      <c r="B56" s="477" t="s">
        <v>307</v>
      </c>
      <c r="C56" s="827" t="s">
        <v>295</v>
      </c>
      <c r="D56" s="828"/>
      <c r="E56" s="478">
        <f t="shared" ref="E56" si="5">E57</f>
        <v>70000</v>
      </c>
    </row>
    <row r="57" spans="1:5" ht="15" customHeight="1">
      <c r="A57" s="623"/>
      <c r="B57" s="623"/>
      <c r="C57" s="732" t="s">
        <v>318</v>
      </c>
      <c r="D57" s="733" t="s">
        <v>836</v>
      </c>
      <c r="E57" s="731">
        <f>'PAP 2021 a 2025'!F58</f>
        <v>70000</v>
      </c>
    </row>
    <row r="58" spans="1:5" ht="20.100000000000001" hidden="1" customHeight="1">
      <c r="A58" s="476" t="s">
        <v>201</v>
      </c>
      <c r="B58" s="477"/>
      <c r="C58" s="827" t="s">
        <v>450</v>
      </c>
      <c r="D58" s="828"/>
      <c r="E58" s="478"/>
    </row>
    <row r="59" spans="1:5" hidden="1">
      <c r="A59" s="481"/>
      <c r="B59" s="482"/>
      <c r="C59" s="482"/>
      <c r="D59" s="613"/>
      <c r="E59" s="473"/>
    </row>
    <row r="60" spans="1:5" hidden="1">
      <c r="A60" s="465" t="s">
        <v>192</v>
      </c>
      <c r="B60" s="466" t="s">
        <v>192</v>
      </c>
      <c r="C60" s="813" t="s">
        <v>451</v>
      </c>
      <c r="D60" s="814"/>
      <c r="E60" s="467"/>
    </row>
    <row r="61" spans="1:5" hidden="1">
      <c r="A61" s="465" t="s">
        <v>193</v>
      </c>
      <c r="B61" s="466" t="s">
        <v>417</v>
      </c>
      <c r="C61" s="813" t="s">
        <v>195</v>
      </c>
      <c r="D61" s="814"/>
      <c r="E61" s="467"/>
    </row>
    <row r="62" spans="1:5" ht="20.100000000000001" hidden="1" customHeight="1">
      <c r="A62" s="476" t="s">
        <v>452</v>
      </c>
      <c r="B62" s="477" t="s">
        <v>781</v>
      </c>
      <c r="C62" s="827" t="s">
        <v>453</v>
      </c>
      <c r="D62" s="828"/>
      <c r="E62" s="478"/>
    </row>
    <row r="63" spans="1:5" hidden="1">
      <c r="A63" s="471"/>
      <c r="B63" s="131"/>
      <c r="C63" s="131"/>
      <c r="D63" s="612"/>
      <c r="E63" s="473"/>
    </row>
    <row r="64" spans="1:5" hidden="1">
      <c r="A64" s="465" t="s">
        <v>192</v>
      </c>
      <c r="B64" s="466" t="s">
        <v>192</v>
      </c>
      <c r="C64" s="813" t="s">
        <v>454</v>
      </c>
      <c r="D64" s="814"/>
      <c r="E64" s="467"/>
    </row>
    <row r="65" spans="1:5" hidden="1">
      <c r="A65" s="465" t="s">
        <v>193</v>
      </c>
      <c r="B65" s="466" t="s">
        <v>417</v>
      </c>
      <c r="C65" s="813" t="s">
        <v>195</v>
      </c>
      <c r="D65" s="814"/>
      <c r="E65" s="467"/>
    </row>
    <row r="66" spans="1:5" ht="20.100000000000001" hidden="1" customHeight="1">
      <c r="A66" s="476" t="s">
        <v>455</v>
      </c>
      <c r="B66" s="477" t="s">
        <v>782</v>
      </c>
      <c r="C66" s="827" t="s">
        <v>456</v>
      </c>
      <c r="D66" s="828"/>
      <c r="E66" s="478"/>
    </row>
    <row r="67" spans="1:5" hidden="1">
      <c r="A67" s="471"/>
      <c r="B67" s="131"/>
      <c r="C67" s="131"/>
      <c r="D67" s="474"/>
      <c r="E67" s="473"/>
    </row>
    <row r="68" spans="1:5" ht="20.100000000000001" hidden="1" customHeight="1">
      <c r="A68" s="476" t="s">
        <v>457</v>
      </c>
      <c r="B68" s="477"/>
      <c r="C68" s="827" t="s">
        <v>458</v>
      </c>
      <c r="D68" s="828"/>
      <c r="E68" s="478"/>
    </row>
    <row r="69" spans="1:5" hidden="1">
      <c r="A69" s="471"/>
      <c r="B69" s="131"/>
      <c r="C69" s="131"/>
      <c r="D69" s="474"/>
      <c r="E69" s="473"/>
    </row>
    <row r="70" spans="1:5" ht="20.100000000000001" hidden="1" customHeight="1">
      <c r="A70" s="476" t="s">
        <v>459</v>
      </c>
      <c r="B70" s="477"/>
      <c r="C70" s="827" t="s">
        <v>460</v>
      </c>
      <c r="D70" s="828"/>
      <c r="E70" s="478"/>
    </row>
    <row r="71" spans="1:5" hidden="1">
      <c r="A71" s="471"/>
      <c r="B71" s="131"/>
      <c r="C71" s="131"/>
      <c r="D71" s="474"/>
      <c r="E71" s="473"/>
    </row>
    <row r="72" spans="1:5" ht="20.100000000000001" hidden="1" customHeight="1">
      <c r="A72" s="476" t="s">
        <v>461</v>
      </c>
      <c r="B72" s="477"/>
      <c r="C72" s="827" t="s">
        <v>462</v>
      </c>
      <c r="D72" s="828"/>
      <c r="E72" s="478"/>
    </row>
    <row r="73" spans="1:5" hidden="1">
      <c r="A73" s="471"/>
      <c r="B73" s="131"/>
      <c r="C73" s="131"/>
      <c r="D73" s="474"/>
      <c r="E73" s="473"/>
    </row>
    <row r="74" spans="1:5" ht="30" hidden="1" customHeight="1">
      <c r="A74" s="476" t="s">
        <v>463</v>
      </c>
      <c r="B74" s="477"/>
      <c r="C74" s="827" t="s">
        <v>464</v>
      </c>
      <c r="D74" s="828"/>
      <c r="E74" s="478"/>
    </row>
    <row r="75" spans="1:5" hidden="1">
      <c r="A75" s="471"/>
      <c r="B75" s="131"/>
      <c r="C75" s="131"/>
      <c r="D75" s="472"/>
      <c r="E75" s="473"/>
    </row>
    <row r="76" spans="1:5" ht="20.100000000000001" hidden="1" customHeight="1">
      <c r="A76" s="476" t="s">
        <v>465</v>
      </c>
      <c r="B76" s="477"/>
      <c r="C76" s="827" t="s">
        <v>466</v>
      </c>
      <c r="D76" s="828"/>
      <c r="E76" s="478"/>
    </row>
    <row r="77" spans="1:5" ht="15" hidden="1" customHeight="1">
      <c r="A77" s="471"/>
      <c r="B77" s="131"/>
      <c r="C77" s="614"/>
      <c r="D77" s="612"/>
      <c r="E77" s="473"/>
    </row>
    <row r="78" spans="1:5">
      <c r="A78" s="465" t="s">
        <v>192</v>
      </c>
      <c r="B78" s="466" t="s">
        <v>192</v>
      </c>
      <c r="C78" s="813" t="s">
        <v>467</v>
      </c>
      <c r="D78" s="814"/>
      <c r="E78" s="475">
        <f>E80+E82+E84+E86+E92</f>
        <v>4870000</v>
      </c>
    </row>
    <row r="79" spans="1:5">
      <c r="A79" s="465" t="s">
        <v>193</v>
      </c>
      <c r="B79" s="466" t="s">
        <v>417</v>
      </c>
      <c r="C79" s="813" t="s">
        <v>195</v>
      </c>
      <c r="D79" s="814"/>
      <c r="E79" s="467"/>
    </row>
    <row r="80" spans="1:5" ht="30" customHeight="1">
      <c r="A80" s="476" t="s">
        <v>468</v>
      </c>
      <c r="B80" s="477" t="s">
        <v>933</v>
      </c>
      <c r="C80" s="831" t="s">
        <v>469</v>
      </c>
      <c r="D80" s="830"/>
      <c r="E80" s="478">
        <f>E81</f>
        <v>1000000</v>
      </c>
    </row>
    <row r="81" spans="1:5">
      <c r="A81" s="471"/>
      <c r="B81" s="131"/>
      <c r="C81" s="794" t="s">
        <v>954</v>
      </c>
      <c r="D81" s="793" t="s">
        <v>955</v>
      </c>
      <c r="E81" s="731">
        <v>1000000</v>
      </c>
    </row>
    <row r="82" spans="1:5" ht="15" hidden="1" customHeight="1">
      <c r="A82" s="476" t="s">
        <v>470</v>
      </c>
      <c r="B82" s="477"/>
      <c r="C82" s="866" t="s">
        <v>471</v>
      </c>
      <c r="D82" s="830"/>
      <c r="E82" s="478">
        <f t="shared" ref="E82" si="6">E83</f>
        <v>0</v>
      </c>
    </row>
    <row r="83" spans="1:5" hidden="1">
      <c r="A83" s="471"/>
      <c r="B83" s="131"/>
      <c r="C83" s="656" t="s">
        <v>666</v>
      </c>
      <c r="D83" s="485" t="s">
        <v>668</v>
      </c>
      <c r="E83" s="657">
        <f>'PAP 2021 a 2025 completo'!F84</f>
        <v>0</v>
      </c>
    </row>
    <row r="84" spans="1:5" ht="30" hidden="1" customHeight="1">
      <c r="A84" s="476" t="s">
        <v>472</v>
      </c>
      <c r="B84" s="477"/>
      <c r="C84" s="829" t="s">
        <v>473</v>
      </c>
      <c r="D84" s="830"/>
      <c r="E84" s="478"/>
    </row>
    <row r="85" spans="1:5" hidden="1">
      <c r="A85" s="471"/>
      <c r="B85" s="131"/>
      <c r="C85" s="487"/>
      <c r="D85" s="488"/>
      <c r="E85" s="473"/>
    </row>
    <row r="86" spans="1:5" ht="30" customHeight="1">
      <c r="A86" s="476" t="s">
        <v>474</v>
      </c>
      <c r="B86" s="477" t="s">
        <v>783</v>
      </c>
      <c r="C86" s="829" t="s">
        <v>475</v>
      </c>
      <c r="D86" s="830"/>
      <c r="E86" s="478">
        <f>SUM(E87:E91)</f>
        <v>3870000</v>
      </c>
    </row>
    <row r="87" spans="1:5" ht="45">
      <c r="A87" s="471"/>
      <c r="B87" s="131"/>
      <c r="C87" s="735" t="s">
        <v>476</v>
      </c>
      <c r="D87" s="733" t="s">
        <v>956</v>
      </c>
      <c r="E87" s="731">
        <f>'PAP 2021 a 2025'!F90</f>
        <v>3500000</v>
      </c>
    </row>
    <row r="88" spans="1:5" hidden="1">
      <c r="A88" s="471"/>
      <c r="B88" s="131"/>
      <c r="C88" s="735" t="s">
        <v>477</v>
      </c>
      <c r="D88" s="733" t="s">
        <v>698</v>
      </c>
      <c r="E88" s="731">
        <f>'PAP 2021 a 2025 completo'!F89</f>
        <v>0</v>
      </c>
    </row>
    <row r="89" spans="1:5">
      <c r="A89" s="471"/>
      <c r="B89" s="131"/>
      <c r="C89" s="735" t="s">
        <v>478</v>
      </c>
      <c r="D89" s="733" t="s">
        <v>837</v>
      </c>
      <c r="E89" s="731">
        <f>'PAP 2021 a 2025'!F92</f>
        <v>370000</v>
      </c>
    </row>
    <row r="90" spans="1:5" hidden="1">
      <c r="A90" s="471"/>
      <c r="B90" s="131"/>
      <c r="C90" s="735" t="s">
        <v>683</v>
      </c>
      <c r="D90" s="733" t="s">
        <v>793</v>
      </c>
      <c r="E90" s="731">
        <f>'PAP 2021 a 2025 completo'!F91</f>
        <v>0</v>
      </c>
    </row>
    <row r="91" spans="1:5" hidden="1">
      <c r="A91" s="471"/>
      <c r="B91" s="131"/>
      <c r="C91" s="735" t="s">
        <v>792</v>
      </c>
      <c r="D91" s="733" t="s">
        <v>684</v>
      </c>
      <c r="E91" s="731">
        <f>'PAP 2021 a 2025 completo'!F92</f>
        <v>0</v>
      </c>
    </row>
    <row r="92" spans="1:5" ht="15" hidden="1" customHeight="1">
      <c r="A92" s="476" t="s">
        <v>480</v>
      </c>
      <c r="B92" s="477"/>
      <c r="C92" s="831" t="s">
        <v>481</v>
      </c>
      <c r="D92" s="832"/>
      <c r="E92" s="478"/>
    </row>
    <row r="93" spans="1:5" hidden="1">
      <c r="A93" s="471"/>
      <c r="B93" s="131"/>
      <c r="C93" s="134"/>
      <c r="D93" s="489"/>
      <c r="E93" s="473"/>
    </row>
    <row r="94" spans="1:5" hidden="1">
      <c r="A94" s="465" t="s">
        <v>192</v>
      </c>
      <c r="B94" s="466" t="s">
        <v>192</v>
      </c>
      <c r="C94" s="815" t="s">
        <v>482</v>
      </c>
      <c r="D94" s="816"/>
      <c r="E94" s="475">
        <f t="shared" ref="E94" si="7">E96+E98+E100</f>
        <v>0</v>
      </c>
    </row>
    <row r="95" spans="1:5" hidden="1">
      <c r="A95" s="465" t="s">
        <v>193</v>
      </c>
      <c r="B95" s="466" t="s">
        <v>417</v>
      </c>
      <c r="C95" s="813" t="s">
        <v>195</v>
      </c>
      <c r="D95" s="814"/>
      <c r="E95" s="467"/>
    </row>
    <row r="96" spans="1:5" ht="30" hidden="1" customHeight="1">
      <c r="A96" s="476" t="s">
        <v>483</v>
      </c>
      <c r="B96" s="477"/>
      <c r="C96" s="829" t="s">
        <v>484</v>
      </c>
      <c r="D96" s="830"/>
      <c r="E96" s="486"/>
    </row>
    <row r="97" spans="1:5" hidden="1">
      <c r="A97" s="471"/>
      <c r="B97" s="131"/>
      <c r="C97" s="487"/>
      <c r="D97" s="488"/>
      <c r="E97" s="473"/>
    </row>
    <row r="98" spans="1:5" ht="15" hidden="1" customHeight="1">
      <c r="A98" s="476" t="s">
        <v>485</v>
      </c>
      <c r="B98" s="477"/>
      <c r="C98" s="829" t="s">
        <v>486</v>
      </c>
      <c r="D98" s="830"/>
      <c r="E98" s="486"/>
    </row>
    <row r="99" spans="1:5" hidden="1">
      <c r="A99" s="471"/>
      <c r="B99" s="131"/>
      <c r="C99" s="487"/>
      <c r="D99" s="488"/>
      <c r="E99" s="473"/>
    </row>
    <row r="100" spans="1:5" ht="30" hidden="1" customHeight="1">
      <c r="A100" s="476" t="s">
        <v>487</v>
      </c>
      <c r="B100" s="490"/>
      <c r="C100" s="829" t="s">
        <v>488</v>
      </c>
      <c r="D100" s="830"/>
      <c r="E100" s="486"/>
    </row>
    <row r="101" spans="1:5" hidden="1">
      <c r="A101" s="471"/>
      <c r="B101" s="131"/>
      <c r="C101" s="487"/>
      <c r="D101" s="488"/>
      <c r="E101" s="473"/>
    </row>
    <row r="102" spans="1:5" hidden="1">
      <c r="A102" s="465" t="s">
        <v>192</v>
      </c>
      <c r="B102" s="466" t="s">
        <v>192</v>
      </c>
      <c r="C102" s="813" t="s">
        <v>489</v>
      </c>
      <c r="D102" s="814"/>
      <c r="E102" s="467"/>
    </row>
    <row r="103" spans="1:5" hidden="1">
      <c r="A103" s="465" t="s">
        <v>193</v>
      </c>
      <c r="B103" s="466" t="s">
        <v>417</v>
      </c>
      <c r="C103" s="813" t="s">
        <v>195</v>
      </c>
      <c r="D103" s="814"/>
      <c r="E103" s="467"/>
    </row>
    <row r="104" spans="1:5" ht="30" hidden="1" customHeight="1">
      <c r="A104" s="476" t="s">
        <v>490</v>
      </c>
      <c r="B104" s="490"/>
      <c r="C104" s="829" t="s">
        <v>491</v>
      </c>
      <c r="D104" s="830"/>
      <c r="E104" s="486"/>
    </row>
    <row r="105" spans="1:5" ht="15" hidden="1" customHeight="1">
      <c r="A105" s="471"/>
      <c r="B105" s="131"/>
      <c r="C105" s="131"/>
      <c r="D105" s="474"/>
      <c r="E105" s="473"/>
    </row>
    <row r="106" spans="1:5" ht="30" hidden="1" customHeight="1">
      <c r="A106" s="476" t="s">
        <v>492</v>
      </c>
      <c r="B106" s="490" t="s">
        <v>784</v>
      </c>
      <c r="C106" s="829" t="s">
        <v>493</v>
      </c>
      <c r="D106" s="830"/>
      <c r="E106" s="486"/>
    </row>
    <row r="107" spans="1:5" hidden="1">
      <c r="A107" s="471"/>
      <c r="B107" s="131"/>
      <c r="C107" s="131"/>
      <c r="D107" s="488"/>
      <c r="E107" s="473"/>
    </row>
    <row r="108" spans="1:5" ht="30" hidden="1" customHeight="1">
      <c r="A108" s="476" t="s">
        <v>494</v>
      </c>
      <c r="B108" s="490"/>
      <c r="C108" s="829" t="s">
        <v>495</v>
      </c>
      <c r="D108" s="830"/>
      <c r="E108" s="486"/>
    </row>
    <row r="109" spans="1:5" hidden="1">
      <c r="A109" s="471"/>
      <c r="B109" s="131"/>
      <c r="C109" s="131"/>
      <c r="D109" s="488"/>
      <c r="E109" s="473"/>
    </row>
    <row r="110" spans="1:5" ht="30" hidden="1" customHeight="1">
      <c r="A110" s="476" t="s">
        <v>496</v>
      </c>
      <c r="B110" s="490"/>
      <c r="C110" s="829" t="s">
        <v>497</v>
      </c>
      <c r="D110" s="830"/>
      <c r="E110" s="486"/>
    </row>
    <row r="111" spans="1:5" hidden="1">
      <c r="A111" s="471"/>
      <c r="B111" s="131"/>
      <c r="C111" s="134"/>
      <c r="D111" s="489"/>
      <c r="E111" s="473"/>
    </row>
    <row r="112" spans="1:5">
      <c r="A112" s="465" t="s">
        <v>192</v>
      </c>
      <c r="B112" s="466" t="s">
        <v>192</v>
      </c>
      <c r="C112" s="835" t="s">
        <v>498</v>
      </c>
      <c r="D112" s="836"/>
      <c r="E112" s="475">
        <f t="shared" ref="E112" si="8">E114+E116+E118+E120</f>
        <v>485000</v>
      </c>
    </row>
    <row r="113" spans="1:5">
      <c r="A113" s="465" t="s">
        <v>193</v>
      </c>
      <c r="B113" s="466" t="s">
        <v>417</v>
      </c>
      <c r="C113" s="813" t="s">
        <v>195</v>
      </c>
      <c r="D113" s="814"/>
      <c r="E113" s="467"/>
    </row>
    <row r="114" spans="1:5" ht="15" customHeight="1">
      <c r="A114" s="476" t="s">
        <v>499</v>
      </c>
      <c r="B114" s="477" t="s">
        <v>713</v>
      </c>
      <c r="C114" s="829" t="s">
        <v>500</v>
      </c>
      <c r="D114" s="830"/>
      <c r="E114" s="478">
        <f t="shared" ref="E114" si="9">E115</f>
        <v>460000</v>
      </c>
    </row>
    <row r="115" spans="1:5">
      <c r="A115" s="471"/>
      <c r="B115" s="131"/>
      <c r="C115" s="735" t="s">
        <v>501</v>
      </c>
      <c r="D115" s="733" t="s">
        <v>502</v>
      </c>
      <c r="E115" s="731">
        <f>'PAP 2021 a 2025'!F118</f>
        <v>460000</v>
      </c>
    </row>
    <row r="116" spans="1:5" ht="15" hidden="1" customHeight="1">
      <c r="A116" s="476" t="s">
        <v>504</v>
      </c>
      <c r="B116" s="477"/>
      <c r="C116" s="829" t="s">
        <v>505</v>
      </c>
      <c r="D116" s="830"/>
      <c r="E116" s="478">
        <f t="shared" ref="E116" si="10">E117</f>
        <v>0</v>
      </c>
    </row>
    <row r="117" spans="1:5" hidden="1">
      <c r="A117" s="471"/>
      <c r="B117" s="131"/>
      <c r="C117" s="131"/>
      <c r="D117" s="474"/>
      <c r="E117" s="473"/>
    </row>
    <row r="118" spans="1:5" ht="15" hidden="1" customHeight="1">
      <c r="A118" s="476" t="s">
        <v>506</v>
      </c>
      <c r="B118" s="477" t="s">
        <v>785</v>
      </c>
      <c r="C118" s="829" t="s">
        <v>507</v>
      </c>
      <c r="D118" s="830"/>
      <c r="E118" s="478">
        <f t="shared" ref="E118" si="11">E119</f>
        <v>0</v>
      </c>
    </row>
    <row r="119" spans="1:5" hidden="1">
      <c r="A119" s="471"/>
      <c r="B119" s="131"/>
    </row>
    <row r="120" spans="1:5" ht="15" customHeight="1">
      <c r="A120" s="741" t="s">
        <v>508</v>
      </c>
      <c r="B120" s="742" t="s">
        <v>736</v>
      </c>
      <c r="C120" s="831" t="s">
        <v>509</v>
      </c>
      <c r="D120" s="832"/>
      <c r="E120" s="743">
        <f t="shared" ref="E120" si="12">E121</f>
        <v>25000</v>
      </c>
    </row>
    <row r="121" spans="1:5">
      <c r="A121" s="134"/>
      <c r="B121" s="134"/>
      <c r="C121" s="738" t="s">
        <v>510</v>
      </c>
      <c r="D121" s="739" t="s">
        <v>511</v>
      </c>
      <c r="E121" s="731">
        <f>'PAP 2021 a 2025'!F124</f>
        <v>25000</v>
      </c>
    </row>
    <row r="122" spans="1:5" ht="9" customHeight="1"/>
    <row r="123" spans="1:5">
      <c r="A123" s="491" t="s">
        <v>190</v>
      </c>
      <c r="B123" s="817" t="s">
        <v>512</v>
      </c>
      <c r="C123" s="818"/>
      <c r="D123" s="818"/>
      <c r="E123" s="492">
        <f>E124+E148+E158</f>
        <v>32740000</v>
      </c>
    </row>
    <row r="124" spans="1:5">
      <c r="A124" s="493" t="s">
        <v>192</v>
      </c>
      <c r="B124" s="494" t="s">
        <v>192</v>
      </c>
      <c r="C124" s="819" t="s">
        <v>513</v>
      </c>
      <c r="D124" s="820"/>
      <c r="E124" s="495">
        <f t="shared" ref="E124" si="13">E126+E128</f>
        <v>16860000</v>
      </c>
    </row>
    <row r="125" spans="1:5">
      <c r="A125" s="493" t="s">
        <v>193</v>
      </c>
      <c r="B125" s="494" t="s">
        <v>417</v>
      </c>
      <c r="C125" s="837" t="s">
        <v>195</v>
      </c>
      <c r="D125" s="838"/>
      <c r="E125" s="496"/>
    </row>
    <row r="126" spans="1:5" ht="20.100000000000001" customHeight="1">
      <c r="A126" s="497" t="s">
        <v>514</v>
      </c>
      <c r="B126" s="498" t="s">
        <v>751</v>
      </c>
      <c r="C126" s="839" t="s">
        <v>515</v>
      </c>
      <c r="D126" s="840"/>
      <c r="E126" s="499">
        <f t="shared" ref="E126" si="14">E127</f>
        <v>90000</v>
      </c>
    </row>
    <row r="127" spans="1:5">
      <c r="A127" s="471"/>
      <c r="B127" s="131"/>
      <c r="C127" s="735" t="s">
        <v>516</v>
      </c>
      <c r="D127" s="733" t="s">
        <v>517</v>
      </c>
      <c r="E127" s="731">
        <f>'PAP 2021 a 2025'!F130</f>
        <v>90000</v>
      </c>
    </row>
    <row r="128" spans="1:5" ht="30" customHeight="1">
      <c r="A128" s="502" t="s">
        <v>518</v>
      </c>
      <c r="B128" s="503" t="s">
        <v>786</v>
      </c>
      <c r="C128" s="841" t="s">
        <v>519</v>
      </c>
      <c r="D128" s="842"/>
      <c r="E128" s="499">
        <f>E129+E130+E131+E132+E133</f>
        <v>16770000</v>
      </c>
    </row>
    <row r="129" spans="1:5">
      <c r="A129" s="471"/>
      <c r="B129" s="131"/>
      <c r="C129" s="735" t="s">
        <v>520</v>
      </c>
      <c r="D129" s="733" t="s">
        <v>521</v>
      </c>
      <c r="E129" s="731">
        <f>'PAP 2021 a 2025'!F132</f>
        <v>15000000</v>
      </c>
    </row>
    <row r="130" spans="1:5" ht="30">
      <c r="A130" s="471"/>
      <c r="B130" s="131"/>
      <c r="C130" s="735" t="s">
        <v>524</v>
      </c>
      <c r="D130" s="733" t="s">
        <v>525</v>
      </c>
      <c r="E130" s="731">
        <f>'PAP 2021 a 2025'!F135</f>
        <v>1000000</v>
      </c>
    </row>
    <row r="131" spans="1:5">
      <c r="A131" s="471"/>
      <c r="B131" s="131"/>
      <c r="C131" s="735" t="s">
        <v>526</v>
      </c>
      <c r="D131" s="733" t="s">
        <v>527</v>
      </c>
      <c r="E131" s="731">
        <f>'PAP 2021 a 2025'!F136</f>
        <v>370000</v>
      </c>
    </row>
    <row r="132" spans="1:5">
      <c r="A132" s="471"/>
      <c r="B132" s="131"/>
      <c r="C132" s="735" t="s">
        <v>528</v>
      </c>
      <c r="D132" s="733" t="s">
        <v>529</v>
      </c>
      <c r="E132" s="731">
        <f>'PAP 2021 a 2025'!F137</f>
        <v>250000</v>
      </c>
    </row>
    <row r="133" spans="1:5">
      <c r="A133" s="471"/>
      <c r="B133" s="131"/>
      <c r="C133" s="735" t="s">
        <v>530</v>
      </c>
      <c r="D133" s="733" t="s">
        <v>531</v>
      </c>
      <c r="E133" s="731">
        <f>'PAP 2021 a 2025'!F138</f>
        <v>150000</v>
      </c>
    </row>
    <row r="134" spans="1:5" ht="30" hidden="1" customHeight="1">
      <c r="A134" s="497" t="s">
        <v>532</v>
      </c>
      <c r="B134" s="498"/>
      <c r="C134" s="843" t="s">
        <v>533</v>
      </c>
      <c r="D134" s="844"/>
      <c r="E134" s="499"/>
    </row>
    <row r="135" spans="1:5" hidden="1">
      <c r="A135" s="500"/>
      <c r="B135" s="501"/>
      <c r="C135" s="501"/>
      <c r="D135" s="504"/>
      <c r="E135" s="473"/>
    </row>
    <row r="136" spans="1:5" ht="30" hidden="1" customHeight="1">
      <c r="A136" s="497" t="s">
        <v>534</v>
      </c>
      <c r="B136" s="498"/>
      <c r="C136" s="843" t="s">
        <v>535</v>
      </c>
      <c r="D136" s="844"/>
      <c r="E136" s="499"/>
    </row>
    <row r="137" spans="1:5" hidden="1">
      <c r="A137" s="500"/>
      <c r="B137" s="501"/>
      <c r="C137" s="501"/>
      <c r="D137" s="505"/>
      <c r="E137" s="473"/>
    </row>
    <row r="138" spans="1:5" ht="30" hidden="1" customHeight="1">
      <c r="A138" s="497" t="s">
        <v>536</v>
      </c>
      <c r="B138" s="498"/>
      <c r="C138" s="843" t="s">
        <v>537</v>
      </c>
      <c r="D138" s="844"/>
      <c r="E138" s="499"/>
    </row>
    <row r="139" spans="1:5" hidden="1">
      <c r="A139" s="500"/>
      <c r="B139" s="501"/>
      <c r="C139" s="501"/>
      <c r="D139" s="505"/>
      <c r="E139" s="473"/>
    </row>
    <row r="140" spans="1:5" ht="30" hidden="1" customHeight="1">
      <c r="A140" s="497" t="s">
        <v>538</v>
      </c>
      <c r="B140" s="498"/>
      <c r="C140" s="843" t="s">
        <v>539</v>
      </c>
      <c r="D140" s="844"/>
      <c r="E140" s="499"/>
    </row>
    <row r="141" spans="1:5" hidden="1">
      <c r="A141" s="500"/>
      <c r="B141" s="501"/>
      <c r="C141" s="501"/>
      <c r="D141" s="505"/>
      <c r="E141" s="473"/>
    </row>
    <row r="142" spans="1:5" ht="30" hidden="1" customHeight="1">
      <c r="A142" s="497" t="s">
        <v>540</v>
      </c>
      <c r="B142" s="498"/>
      <c r="C142" s="843" t="s">
        <v>541</v>
      </c>
      <c r="D142" s="844"/>
      <c r="E142" s="499"/>
    </row>
    <row r="143" spans="1:5" hidden="1">
      <c r="A143" s="500"/>
      <c r="B143" s="501"/>
      <c r="C143" s="501"/>
      <c r="D143" s="615"/>
      <c r="E143" s="473"/>
    </row>
    <row r="147" spans="1:5">
      <c r="A147" s="491" t="s">
        <v>190</v>
      </c>
      <c r="B147" s="817" t="s">
        <v>512</v>
      </c>
      <c r="C147" s="818"/>
      <c r="D147" s="818"/>
      <c r="E147" s="492"/>
    </row>
    <row r="148" spans="1:5">
      <c r="A148" s="506" t="s">
        <v>192</v>
      </c>
      <c r="B148" s="494" t="s">
        <v>192</v>
      </c>
      <c r="C148" s="805" t="s">
        <v>542</v>
      </c>
      <c r="D148" s="806"/>
      <c r="E148" s="495">
        <f>E150+E152+E154+E156</f>
        <v>250000</v>
      </c>
    </row>
    <row r="149" spans="1:5">
      <c r="A149" s="506" t="s">
        <v>193</v>
      </c>
      <c r="B149" s="494" t="s">
        <v>417</v>
      </c>
      <c r="C149" s="805" t="s">
        <v>195</v>
      </c>
      <c r="D149" s="806"/>
      <c r="E149" s="495"/>
    </row>
    <row r="150" spans="1:5" ht="30" customHeight="1">
      <c r="A150" s="497" t="s">
        <v>543</v>
      </c>
      <c r="B150" s="498" t="s">
        <v>787</v>
      </c>
      <c r="C150" s="843" t="s">
        <v>544</v>
      </c>
      <c r="D150" s="844"/>
      <c r="E150" s="499">
        <f>E151</f>
        <v>250000</v>
      </c>
    </row>
    <row r="151" spans="1:5" s="737" customFormat="1" ht="30">
      <c r="A151" s="736"/>
      <c r="B151" s="735"/>
      <c r="C151" s="735" t="s">
        <v>545</v>
      </c>
      <c r="D151" s="733" t="s">
        <v>546</v>
      </c>
      <c r="E151" s="731">
        <f>'PAP 2021 a 2025'!F152</f>
        <v>250000</v>
      </c>
    </row>
    <row r="152" spans="1:5" ht="20.100000000000001" hidden="1" customHeight="1">
      <c r="A152" s="497" t="s">
        <v>549</v>
      </c>
      <c r="B152" s="498"/>
      <c r="C152" s="843" t="s">
        <v>550</v>
      </c>
      <c r="D152" s="844"/>
      <c r="E152" s="499">
        <f t="shared" ref="E152" si="15">E153</f>
        <v>0</v>
      </c>
    </row>
    <row r="153" spans="1:5" ht="15" hidden="1" customHeight="1">
      <c r="A153" s="500"/>
      <c r="B153" s="501"/>
      <c r="C153" s="479" t="s">
        <v>551</v>
      </c>
      <c r="D153" s="468" t="s">
        <v>552</v>
      </c>
      <c r="E153" s="564">
        <v>0</v>
      </c>
    </row>
    <row r="154" spans="1:5" ht="20.100000000000001" hidden="1" customHeight="1">
      <c r="A154" s="497" t="s">
        <v>553</v>
      </c>
      <c r="B154" s="498"/>
      <c r="C154" s="843" t="s">
        <v>554</v>
      </c>
      <c r="D154" s="844"/>
      <c r="E154" s="499">
        <f t="shared" ref="E154:E156" si="16">E155</f>
        <v>0</v>
      </c>
    </row>
    <row r="155" spans="1:5" hidden="1">
      <c r="A155" s="500"/>
      <c r="B155" s="501"/>
      <c r="C155" s="479" t="s">
        <v>555</v>
      </c>
      <c r="D155" s="485" t="s">
        <v>556</v>
      </c>
      <c r="E155" s="564">
        <v>0</v>
      </c>
    </row>
    <row r="156" spans="1:5" ht="30" hidden="1" customHeight="1">
      <c r="A156" s="497" t="s">
        <v>557</v>
      </c>
      <c r="B156" s="498"/>
      <c r="C156" s="843" t="s">
        <v>558</v>
      </c>
      <c r="D156" s="844"/>
      <c r="E156" s="499">
        <f t="shared" si="16"/>
        <v>0</v>
      </c>
    </row>
    <row r="157" spans="1:5" hidden="1">
      <c r="A157" s="500"/>
      <c r="B157" s="501"/>
      <c r="C157" s="479" t="s">
        <v>555</v>
      </c>
      <c r="D157" s="485" t="s">
        <v>559</v>
      </c>
      <c r="E157" s="564">
        <v>0</v>
      </c>
    </row>
    <row r="158" spans="1:5">
      <c r="A158" s="506" t="s">
        <v>192</v>
      </c>
      <c r="B158" s="494" t="s">
        <v>192</v>
      </c>
      <c r="C158" s="805" t="s">
        <v>560</v>
      </c>
      <c r="D158" s="806"/>
      <c r="E158" s="495">
        <f t="shared" ref="E158" si="17">E160+E162+E164</f>
        <v>15630000</v>
      </c>
    </row>
    <row r="159" spans="1:5">
      <c r="A159" s="658" t="s">
        <v>193</v>
      </c>
      <c r="B159" s="659" t="s">
        <v>417</v>
      </c>
      <c r="C159" s="864" t="s">
        <v>195</v>
      </c>
      <c r="D159" s="865"/>
      <c r="E159" s="660"/>
    </row>
    <row r="160" spans="1:5" ht="45" hidden="1" customHeight="1">
      <c r="A160" s="729" t="s">
        <v>561</v>
      </c>
      <c r="B160" s="729"/>
      <c r="C160" s="861" t="s">
        <v>562</v>
      </c>
      <c r="D160" s="861"/>
      <c r="E160" s="499"/>
    </row>
    <row r="161" spans="1:5" ht="15" hidden="1" customHeight="1">
      <c r="A161" s="530"/>
      <c r="B161" s="530"/>
      <c r="C161" s="530"/>
      <c r="D161" s="530"/>
      <c r="E161" s="530"/>
    </row>
    <row r="162" spans="1:5" ht="30" hidden="1" customHeight="1">
      <c r="A162" s="729" t="s">
        <v>566</v>
      </c>
      <c r="B162" s="729" t="s">
        <v>788</v>
      </c>
      <c r="C162" s="861" t="s">
        <v>567</v>
      </c>
      <c r="D162" s="861"/>
      <c r="E162" s="499">
        <f t="shared" ref="E162" si="18">SUM(E163:E163)</f>
        <v>0</v>
      </c>
    </row>
    <row r="163" spans="1:5" ht="15" hidden="1" customHeight="1">
      <c r="A163" s="530"/>
      <c r="B163" s="530"/>
      <c r="C163" s="663" t="s">
        <v>568</v>
      </c>
      <c r="D163" s="664" t="s">
        <v>794</v>
      </c>
      <c r="E163" s="564">
        <v>0</v>
      </c>
    </row>
    <row r="164" spans="1:5" ht="60.75" customHeight="1">
      <c r="A164" s="729" t="s">
        <v>569</v>
      </c>
      <c r="B164" s="729" t="s">
        <v>960</v>
      </c>
      <c r="C164" s="861" t="s">
        <v>964</v>
      </c>
      <c r="D164" s="861"/>
      <c r="E164" s="499">
        <f>SUM(E165:E167)</f>
        <v>15630000</v>
      </c>
    </row>
    <row r="165" spans="1:5" ht="15" customHeight="1">
      <c r="A165" s="530"/>
      <c r="B165" s="530"/>
      <c r="C165" s="738" t="s">
        <v>571</v>
      </c>
      <c r="D165" s="739" t="s">
        <v>563</v>
      </c>
      <c r="E165" s="731">
        <f>'PAP 2021 a 2025'!F167</f>
        <v>15000000</v>
      </c>
    </row>
    <row r="166" spans="1:5" ht="15" customHeight="1">
      <c r="A166" s="530"/>
      <c r="B166" s="530"/>
      <c r="C166" s="738" t="s">
        <v>564</v>
      </c>
      <c r="D166" s="739" t="s">
        <v>527</v>
      </c>
      <c r="E166" s="731">
        <f>'PAP 2021 a 2025'!F168</f>
        <v>380000</v>
      </c>
    </row>
    <row r="167" spans="1:5" ht="15" customHeight="1">
      <c r="A167" s="530"/>
      <c r="B167" s="530"/>
      <c r="C167" s="738" t="s">
        <v>565</v>
      </c>
      <c r="D167" s="739" t="s">
        <v>529</v>
      </c>
      <c r="E167" s="731">
        <f>'PAP 2021 a 2025'!F169</f>
        <v>250000</v>
      </c>
    </row>
    <row r="168" spans="1:5" ht="45" hidden="1" customHeight="1">
      <c r="A168" s="729" t="s">
        <v>572</v>
      </c>
      <c r="B168" s="729" t="s">
        <v>790</v>
      </c>
      <c r="C168" s="861" t="s">
        <v>573</v>
      </c>
      <c r="D168" s="861"/>
      <c r="E168" s="499"/>
    </row>
    <row r="169" spans="1:5" ht="15" hidden="1" customHeight="1">
      <c r="A169" s="530"/>
      <c r="B169" s="530"/>
      <c r="C169" s="530"/>
      <c r="D169" s="530"/>
      <c r="E169" s="530"/>
    </row>
    <row r="170" spans="1:5" ht="24.95" hidden="1" customHeight="1">
      <c r="A170" s="729" t="s">
        <v>574</v>
      </c>
      <c r="B170" s="729"/>
      <c r="C170" s="861" t="s">
        <v>575</v>
      </c>
      <c r="D170" s="861"/>
      <c r="E170" s="499"/>
    </row>
    <row r="171" spans="1:5" hidden="1">
      <c r="A171" s="473"/>
      <c r="B171" s="473"/>
      <c r="C171" s="473"/>
      <c r="D171" s="473"/>
      <c r="E171" s="473"/>
    </row>
    <row r="173" spans="1:5">
      <c r="A173" s="661" t="s">
        <v>190</v>
      </c>
      <c r="B173" s="862" t="s">
        <v>576</v>
      </c>
      <c r="C173" s="863"/>
      <c r="D173" s="863"/>
      <c r="E173" s="662">
        <f t="shared" ref="E173" si="19">E174</f>
        <v>1020000</v>
      </c>
    </row>
    <row r="174" spans="1:5">
      <c r="A174" s="509" t="s">
        <v>192</v>
      </c>
      <c r="B174" s="510" t="s">
        <v>192</v>
      </c>
      <c r="C174" s="809" t="s">
        <v>577</v>
      </c>
      <c r="D174" s="810"/>
      <c r="E174" s="511">
        <f t="shared" ref="E174" si="20">E176+E180+E182</f>
        <v>1020000</v>
      </c>
    </row>
    <row r="175" spans="1:5">
      <c r="A175" s="509" t="s">
        <v>193</v>
      </c>
      <c r="B175" s="510" t="s">
        <v>417</v>
      </c>
      <c r="C175" s="851" t="s">
        <v>195</v>
      </c>
      <c r="D175" s="852"/>
      <c r="E175" s="512"/>
    </row>
    <row r="176" spans="1:5" s="516" customFormat="1" ht="15" customHeight="1">
      <c r="A176" s="513" t="s">
        <v>111</v>
      </c>
      <c r="B176" s="514" t="s">
        <v>730</v>
      </c>
      <c r="C176" s="853" t="s">
        <v>578</v>
      </c>
      <c r="D176" s="854"/>
      <c r="E176" s="515">
        <f t="shared" ref="E176" si="21">E177+E178+E179</f>
        <v>350000</v>
      </c>
    </row>
    <row r="177" spans="1:5" s="516" customFormat="1">
      <c r="A177" s="500"/>
      <c r="B177" s="501"/>
      <c r="C177" s="735" t="s">
        <v>755</v>
      </c>
      <c r="D177" s="733" t="s">
        <v>579</v>
      </c>
      <c r="E177" s="731">
        <f>'PAP 2021 a 2025'!F179</f>
        <v>100000</v>
      </c>
    </row>
    <row r="178" spans="1:5" s="516" customFormat="1" hidden="1">
      <c r="A178" s="500"/>
      <c r="B178" s="501"/>
      <c r="C178" s="735" t="s">
        <v>756</v>
      </c>
      <c r="D178" s="733" t="s">
        <v>580</v>
      </c>
      <c r="E178" s="731">
        <f>'PAP 2021 a 2025 completo'!F176</f>
        <v>0</v>
      </c>
    </row>
    <row r="179" spans="1:5">
      <c r="A179" s="471"/>
      <c r="B179" s="131"/>
      <c r="C179" s="735" t="s">
        <v>720</v>
      </c>
      <c r="D179" s="740" t="s">
        <v>503</v>
      </c>
      <c r="E179" s="731">
        <f>'PAP 2021 a 2025'!F181</f>
        <v>250000</v>
      </c>
    </row>
    <row r="180" spans="1:5" s="516" customFormat="1" ht="30" customHeight="1">
      <c r="A180" s="513" t="s">
        <v>581</v>
      </c>
      <c r="B180" s="514" t="s">
        <v>730</v>
      </c>
      <c r="C180" s="853" t="s">
        <v>582</v>
      </c>
      <c r="D180" s="854"/>
      <c r="E180" s="515">
        <f t="shared" ref="E180" si="22">E181</f>
        <v>470000</v>
      </c>
    </row>
    <row r="181" spans="1:5" s="516" customFormat="1">
      <c r="A181" s="500"/>
      <c r="B181" s="501"/>
      <c r="C181" s="735" t="s">
        <v>583</v>
      </c>
      <c r="D181" s="733" t="s">
        <v>653</v>
      </c>
      <c r="E181" s="731">
        <f>'PAP 2021 a 2025'!F184</f>
        <v>470000</v>
      </c>
    </row>
    <row r="182" spans="1:5" s="516" customFormat="1" ht="30" customHeight="1">
      <c r="A182" s="513" t="s">
        <v>584</v>
      </c>
      <c r="B182" s="514" t="s">
        <v>730</v>
      </c>
      <c r="C182" s="853" t="s">
        <v>585</v>
      </c>
      <c r="D182" s="854"/>
      <c r="E182" s="515">
        <f t="shared" ref="E182" si="23">E183+E184+E185</f>
        <v>200000</v>
      </c>
    </row>
    <row r="183" spans="1:5" s="516" customFormat="1">
      <c r="A183" s="500"/>
      <c r="B183" s="501"/>
      <c r="C183" s="735" t="s">
        <v>586</v>
      </c>
      <c r="D183" s="733" t="s">
        <v>834</v>
      </c>
      <c r="E183" s="731">
        <f>'PAP 2021 a 2025'!F186</f>
        <v>50000</v>
      </c>
    </row>
    <row r="184" spans="1:5" s="516" customFormat="1">
      <c r="A184" s="500"/>
      <c r="B184" s="501"/>
      <c r="C184" s="735" t="s">
        <v>587</v>
      </c>
      <c r="D184" s="733" t="s">
        <v>588</v>
      </c>
      <c r="E184" s="731">
        <f>'PAP 2021 a 2025'!F187</f>
        <v>50000</v>
      </c>
    </row>
    <row r="185" spans="1:5" s="516" customFormat="1">
      <c r="A185" s="500"/>
      <c r="B185" s="501"/>
      <c r="C185" s="735" t="s">
        <v>589</v>
      </c>
      <c r="D185" s="733" t="s">
        <v>590</v>
      </c>
      <c r="E185" s="731">
        <f>'PAP 2021 a 2025'!F188</f>
        <v>100000</v>
      </c>
    </row>
    <row r="187" spans="1:5">
      <c r="A187" s="517" t="s">
        <v>190</v>
      </c>
      <c r="B187" s="811" t="s">
        <v>591</v>
      </c>
      <c r="C187" s="812"/>
      <c r="D187" s="812"/>
      <c r="E187" s="518">
        <f t="shared" ref="E187" si="24">E188+E191</f>
        <v>1315200</v>
      </c>
    </row>
    <row r="188" spans="1:5" hidden="1">
      <c r="A188" s="519" t="s">
        <v>192</v>
      </c>
      <c r="B188" s="520" t="s">
        <v>192</v>
      </c>
      <c r="C188" s="802" t="s">
        <v>592</v>
      </c>
      <c r="D188" s="803"/>
      <c r="E188" s="521"/>
    </row>
    <row r="189" spans="1:5" hidden="1">
      <c r="A189" s="519" t="s">
        <v>193</v>
      </c>
      <c r="B189" s="520" t="s">
        <v>417</v>
      </c>
      <c r="C189" s="802" t="s">
        <v>195</v>
      </c>
      <c r="D189" s="803"/>
      <c r="E189" s="521"/>
    </row>
    <row r="190" spans="1:5" ht="15" hidden="1" customHeight="1">
      <c r="A190" s="500" t="s">
        <v>593</v>
      </c>
      <c r="B190" s="501"/>
      <c r="C190" s="501"/>
      <c r="D190" s="522" t="s">
        <v>594</v>
      </c>
      <c r="E190" s="473"/>
    </row>
    <row r="191" spans="1:5">
      <c r="A191" s="519" t="s">
        <v>192</v>
      </c>
      <c r="B191" s="520" t="s">
        <v>192</v>
      </c>
      <c r="C191" s="802" t="s">
        <v>595</v>
      </c>
      <c r="D191" s="803"/>
      <c r="E191" s="523">
        <f>E194+E196+E198+E200+E202</f>
        <v>1315200</v>
      </c>
    </row>
    <row r="192" spans="1:5">
      <c r="A192" s="524" t="s">
        <v>193</v>
      </c>
      <c r="B192" s="525" t="s">
        <v>417</v>
      </c>
      <c r="C192" s="847" t="s">
        <v>195</v>
      </c>
      <c r="D192" s="848"/>
      <c r="E192" s="526"/>
    </row>
    <row r="193" spans="1:5">
      <c r="A193" s="730" t="s">
        <v>596</v>
      </c>
      <c r="B193" s="730"/>
      <c r="C193" s="849" t="s">
        <v>597</v>
      </c>
      <c r="D193" s="850"/>
      <c r="E193" s="528">
        <f t="shared" ref="E193" si="25">E194</f>
        <v>13152</v>
      </c>
    </row>
    <row r="194" spans="1:5">
      <c r="A194" s="529">
        <v>0.01</v>
      </c>
      <c r="B194" s="530"/>
      <c r="C194" s="738" t="s">
        <v>598</v>
      </c>
      <c r="D194" s="733" t="s">
        <v>599</v>
      </c>
      <c r="E194" s="731">
        <f>'PAP 2021 a 2025'!F197</f>
        <v>13152</v>
      </c>
    </row>
    <row r="195" spans="1:5">
      <c r="A195" s="730" t="s">
        <v>600</v>
      </c>
      <c r="B195" s="730"/>
      <c r="C195" s="845" t="s">
        <v>601</v>
      </c>
      <c r="D195" s="846"/>
      <c r="E195" s="528">
        <f t="shared" ref="E195" si="26">E196</f>
        <v>236736</v>
      </c>
    </row>
    <row r="196" spans="1:5">
      <c r="A196" s="529">
        <v>0.18</v>
      </c>
      <c r="B196" s="530"/>
      <c r="C196" s="738" t="s">
        <v>602</v>
      </c>
      <c r="D196" s="733" t="s">
        <v>603</v>
      </c>
      <c r="E196" s="731">
        <f>'PAP 2021 a 2025'!F199</f>
        <v>236736</v>
      </c>
    </row>
    <row r="197" spans="1:5">
      <c r="A197" s="730" t="s">
        <v>604</v>
      </c>
      <c r="B197" s="730"/>
      <c r="C197" s="845" t="s">
        <v>605</v>
      </c>
      <c r="D197" s="846"/>
      <c r="E197" s="528">
        <f t="shared" ref="E197" si="27">E198</f>
        <v>986400</v>
      </c>
    </row>
    <row r="198" spans="1:5">
      <c r="A198" s="529">
        <v>0.75</v>
      </c>
      <c r="B198" s="530"/>
      <c r="C198" s="738" t="s">
        <v>606</v>
      </c>
      <c r="D198" s="733" t="s">
        <v>607</v>
      </c>
      <c r="E198" s="731">
        <f>'PAP 2021 a 2025'!F201</f>
        <v>986400</v>
      </c>
    </row>
    <row r="199" spans="1:5">
      <c r="A199" s="730" t="s">
        <v>608</v>
      </c>
      <c r="B199" s="730"/>
      <c r="C199" s="845" t="s">
        <v>609</v>
      </c>
      <c r="D199" s="846"/>
      <c r="E199" s="528">
        <f t="shared" ref="E199" si="28">E200</f>
        <v>13152</v>
      </c>
    </row>
    <row r="200" spans="1:5">
      <c r="A200" s="529">
        <v>0.01</v>
      </c>
      <c r="B200" s="530"/>
      <c r="C200" s="738" t="s">
        <v>610</v>
      </c>
      <c r="D200" s="733" t="s">
        <v>611</v>
      </c>
      <c r="E200" s="731">
        <f>'PAP 2021 a 2025'!F203</f>
        <v>13152</v>
      </c>
    </row>
    <row r="201" spans="1:5">
      <c r="A201" s="730" t="s">
        <v>612</v>
      </c>
      <c r="B201" s="730"/>
      <c r="C201" s="845" t="s">
        <v>613</v>
      </c>
      <c r="D201" s="846"/>
      <c r="E201" s="528">
        <f t="shared" ref="E201" si="29">E202</f>
        <v>65760</v>
      </c>
    </row>
    <row r="202" spans="1:5">
      <c r="A202" s="529">
        <v>0.05</v>
      </c>
      <c r="B202" s="530"/>
      <c r="C202" s="738" t="s">
        <v>614</v>
      </c>
      <c r="D202" s="733" t="s">
        <v>615</v>
      </c>
      <c r="E202" s="731">
        <f>'PAP 2021 a 2025'!F205</f>
        <v>65760</v>
      </c>
    </row>
    <row r="203" spans="1:5">
      <c r="A203" s="531">
        <v>2021</v>
      </c>
      <c r="B203" s="532" t="s">
        <v>616</v>
      </c>
      <c r="C203" s="532"/>
      <c r="D203" s="532"/>
    </row>
    <row r="204" spans="1:5">
      <c r="E204" s="462"/>
    </row>
  </sheetData>
  <mergeCells count="104">
    <mergeCell ref="C22:D22"/>
    <mergeCell ref="C24:D24"/>
    <mergeCell ref="C26:D26"/>
    <mergeCell ref="C27:D27"/>
    <mergeCell ref="C28:D28"/>
    <mergeCell ref="C30:D30"/>
    <mergeCell ref="A1:E1"/>
    <mergeCell ref="A4:D4"/>
    <mergeCell ref="B16:D16"/>
    <mergeCell ref="C17:D17"/>
    <mergeCell ref="C18:D18"/>
    <mergeCell ref="C19:D19"/>
    <mergeCell ref="C42:D42"/>
    <mergeCell ref="C44:D44"/>
    <mergeCell ref="C46:D46"/>
    <mergeCell ref="C47:D47"/>
    <mergeCell ref="C48:D48"/>
    <mergeCell ref="C50:D50"/>
    <mergeCell ref="C32:D32"/>
    <mergeCell ref="C34:D34"/>
    <mergeCell ref="C36:D36"/>
    <mergeCell ref="C37:D37"/>
    <mergeCell ref="C38:D38"/>
    <mergeCell ref="C40:D40"/>
    <mergeCell ref="C61:D61"/>
    <mergeCell ref="C62:D62"/>
    <mergeCell ref="C64:D64"/>
    <mergeCell ref="C65:D65"/>
    <mergeCell ref="C66:D66"/>
    <mergeCell ref="C68:D68"/>
    <mergeCell ref="C52:D52"/>
    <mergeCell ref="C54:D54"/>
    <mergeCell ref="C55:D55"/>
    <mergeCell ref="C56:D56"/>
    <mergeCell ref="C58:D58"/>
    <mergeCell ref="C60:D60"/>
    <mergeCell ref="C79:D79"/>
    <mergeCell ref="C80:D80"/>
    <mergeCell ref="C82:D82"/>
    <mergeCell ref="C84:D84"/>
    <mergeCell ref="C86:D86"/>
    <mergeCell ref="C92:D92"/>
    <mergeCell ref="C70:D70"/>
    <mergeCell ref="C72:D72"/>
    <mergeCell ref="C74:D74"/>
    <mergeCell ref="C76:D76"/>
    <mergeCell ref="C78:D78"/>
    <mergeCell ref="C103:D103"/>
    <mergeCell ref="C104:D104"/>
    <mergeCell ref="C106:D106"/>
    <mergeCell ref="C108:D108"/>
    <mergeCell ref="C110:D110"/>
    <mergeCell ref="C112:D112"/>
    <mergeCell ref="C94:D94"/>
    <mergeCell ref="C95:D95"/>
    <mergeCell ref="C96:D96"/>
    <mergeCell ref="C98:D98"/>
    <mergeCell ref="C100:D100"/>
    <mergeCell ref="C102:D102"/>
    <mergeCell ref="C124:D124"/>
    <mergeCell ref="C125:D125"/>
    <mergeCell ref="C126:D126"/>
    <mergeCell ref="C128:D128"/>
    <mergeCell ref="C134:D134"/>
    <mergeCell ref="C136:D136"/>
    <mergeCell ref="C113:D113"/>
    <mergeCell ref="C114:D114"/>
    <mergeCell ref="C116:D116"/>
    <mergeCell ref="C118:D118"/>
    <mergeCell ref="C120:D120"/>
    <mergeCell ref="B123:D123"/>
    <mergeCell ref="C158:D158"/>
    <mergeCell ref="C159:D159"/>
    <mergeCell ref="C160:D160"/>
    <mergeCell ref="C138:D138"/>
    <mergeCell ref="C140:D140"/>
    <mergeCell ref="C142:D142"/>
    <mergeCell ref="C148:D148"/>
    <mergeCell ref="C149:D149"/>
    <mergeCell ref="C150:D150"/>
    <mergeCell ref="C199:D199"/>
    <mergeCell ref="C201:D201"/>
    <mergeCell ref="B147:D147"/>
    <mergeCell ref="C189:D189"/>
    <mergeCell ref="C191:D191"/>
    <mergeCell ref="C192:D192"/>
    <mergeCell ref="C193:D193"/>
    <mergeCell ref="C195:D195"/>
    <mergeCell ref="C197:D197"/>
    <mergeCell ref="C175:D175"/>
    <mergeCell ref="C176:D176"/>
    <mergeCell ref="C180:D180"/>
    <mergeCell ref="C182:D182"/>
    <mergeCell ref="B187:D187"/>
    <mergeCell ref="C188:D188"/>
    <mergeCell ref="C162:D162"/>
    <mergeCell ref="C164:D164"/>
    <mergeCell ref="C168:D168"/>
    <mergeCell ref="C170:D170"/>
    <mergeCell ref="B173:D173"/>
    <mergeCell ref="C174:D174"/>
    <mergeCell ref="C152:D152"/>
    <mergeCell ref="C154:D154"/>
    <mergeCell ref="C156:D156"/>
  </mergeCells>
  <printOptions horizontalCentered="1"/>
  <pageMargins left="0.51181102362204722" right="0.51181102362204722" top="0.78740157480314965" bottom="0.78740157480314965" header="0.31496062992125984" footer="0.31496062992125984"/>
  <pageSetup paperSize="9" scale="73" fitToWidth="0" fitToHeight="0" orientation="portrait" r:id="rId1"/>
  <headerFooter>
    <oddFooter>&amp;L&amp;F&amp;C&amp;A&amp;R&amp;P/&amp;N</oddFooter>
  </headerFooter>
  <ignoredErrors>
    <ignoredError sqref="E49 E115 E151 E199 E197 E195 E194 E196 E198 E200"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N202"/>
  <sheetViews>
    <sheetView view="pageBreakPreview" zoomScale="110" zoomScaleNormal="100" zoomScaleSheetLayoutView="110" workbookViewId="0">
      <selection activeCell="B180" sqref="B180"/>
    </sheetView>
  </sheetViews>
  <sheetFormatPr defaultRowHeight="15"/>
  <cols>
    <col min="1" max="3" width="11.875" style="130" customWidth="1"/>
    <col min="4" max="4" width="65.125" style="130" customWidth="1"/>
    <col min="5" max="10" width="11.125" style="130" customWidth="1"/>
    <col min="11" max="16384" width="9" style="130"/>
  </cols>
  <sheetData>
    <row r="1" spans="1:12" s="129" customFormat="1" ht="39.950000000000003" customHeight="1">
      <c r="A1" s="804" t="s">
        <v>892</v>
      </c>
      <c r="B1" s="804"/>
      <c r="C1" s="804"/>
      <c r="D1" s="804"/>
      <c r="E1" s="804"/>
      <c r="F1" s="804"/>
      <c r="G1" s="804"/>
      <c r="H1" s="804"/>
      <c r="I1" s="804"/>
      <c r="J1" s="804"/>
    </row>
    <row r="2" spans="1:12">
      <c r="A2" s="443" t="s">
        <v>413</v>
      </c>
      <c r="B2" s="443"/>
      <c r="C2" s="443"/>
      <c r="D2" s="443"/>
      <c r="E2" s="444" t="s">
        <v>1</v>
      </c>
      <c r="F2" s="444">
        <v>2021</v>
      </c>
      <c r="G2" s="444">
        <v>2022</v>
      </c>
      <c r="H2" s="444">
        <v>2023</v>
      </c>
      <c r="I2" s="444">
        <v>2024</v>
      </c>
      <c r="J2" s="444">
        <v>2025</v>
      </c>
    </row>
    <row r="3" spans="1:12">
      <c r="A3" s="443"/>
      <c r="B3" s="443"/>
      <c r="C3" s="443"/>
      <c r="D3" s="443"/>
      <c r="E3" s="444" t="s">
        <v>173</v>
      </c>
      <c r="F3" s="444" t="s">
        <v>173</v>
      </c>
      <c r="G3" s="444" t="s">
        <v>173</v>
      </c>
      <c r="H3" s="444" t="s">
        <v>173</v>
      </c>
      <c r="I3" s="444" t="s">
        <v>173</v>
      </c>
      <c r="J3" s="444" t="s">
        <v>173</v>
      </c>
    </row>
    <row r="4" spans="1:12" s="129" customFormat="1" ht="20.100000000000001" customHeight="1">
      <c r="A4" s="822" t="s">
        <v>414</v>
      </c>
      <c r="B4" s="822"/>
      <c r="C4" s="822"/>
      <c r="D4" s="822"/>
      <c r="E4" s="445">
        <f>SUM(F4:J4)</f>
        <v>144649010.75999999</v>
      </c>
      <c r="F4" s="445">
        <v>80177675.760000005</v>
      </c>
      <c r="G4" s="445">
        <v>15274251</v>
      </c>
      <c r="H4" s="445">
        <v>15821890</v>
      </c>
      <c r="I4" s="445">
        <v>16391434</v>
      </c>
      <c r="J4" s="445">
        <v>16983760</v>
      </c>
    </row>
    <row r="5" spans="1:12" ht="5.0999999999999996" customHeight="1"/>
    <row r="6" spans="1:12">
      <c r="A6" s="443" t="s">
        <v>190</v>
      </c>
      <c r="B6" s="443" t="s">
        <v>415</v>
      </c>
      <c r="C6" s="443" t="s">
        <v>416</v>
      </c>
      <c r="D6" s="443" t="s">
        <v>317</v>
      </c>
      <c r="E6" s="444" t="s">
        <v>1</v>
      </c>
      <c r="F6" s="444">
        <v>2021</v>
      </c>
      <c r="G6" s="444">
        <v>2022</v>
      </c>
      <c r="H6" s="444">
        <v>2023</v>
      </c>
      <c r="I6" s="444">
        <v>2024</v>
      </c>
      <c r="J6" s="444">
        <v>2025</v>
      </c>
    </row>
    <row r="7" spans="1:12">
      <c r="A7" s="443"/>
      <c r="B7" s="443"/>
      <c r="C7" s="443"/>
      <c r="D7" s="443"/>
      <c r="E7" s="444" t="s">
        <v>173</v>
      </c>
      <c r="F7" s="444" t="s">
        <v>173</v>
      </c>
      <c r="G7" s="444" t="s">
        <v>173</v>
      </c>
      <c r="H7" s="444" t="s">
        <v>173</v>
      </c>
      <c r="I7" s="444" t="s">
        <v>173</v>
      </c>
      <c r="J7" s="444" t="s">
        <v>173</v>
      </c>
    </row>
    <row r="8" spans="1:12" ht="5.0999999999999996" customHeight="1"/>
    <row r="9" spans="1:12">
      <c r="A9" s="446">
        <v>1</v>
      </c>
      <c r="B9" s="447" t="str">
        <f>B16</f>
        <v>GESTÃO DE RECURSOS HÍDRICOS</v>
      </c>
      <c r="C9" s="447"/>
      <c r="D9" s="447"/>
      <c r="E9" s="448">
        <f>E16</f>
        <v>59055748.007033035</v>
      </c>
      <c r="F9" s="448">
        <f t="shared" ref="F9:J9" si="0">F16</f>
        <v>6043471.6309419433</v>
      </c>
      <c r="G9" s="448">
        <f t="shared" si="0"/>
        <v>4608398.9124944229</v>
      </c>
      <c r="H9" s="448">
        <f t="shared" si="0"/>
        <v>40566140.569829814</v>
      </c>
      <c r="I9" s="448">
        <f t="shared" si="0"/>
        <v>3844969.0655719852</v>
      </c>
      <c r="J9" s="448">
        <f t="shared" si="0"/>
        <v>3992767.8281948641</v>
      </c>
    </row>
    <row r="10" spans="1:12">
      <c r="A10" s="449">
        <v>2</v>
      </c>
      <c r="B10" s="450" t="str">
        <f>B124</f>
        <v>AGENDA SETORIAL</v>
      </c>
      <c r="C10" s="451"/>
      <c r="D10" s="451"/>
      <c r="E10" s="452">
        <f>E124</f>
        <v>71885436.94553034</v>
      </c>
      <c r="F10" s="452">
        <f t="shared" ref="F10:J10" si="1">F124</f>
        <v>32697742.005611219</v>
      </c>
      <c r="G10" s="452">
        <f t="shared" si="1"/>
        <v>21636826.625615835</v>
      </c>
      <c r="H10" s="452">
        <f t="shared" si="1"/>
        <v>5908299.6906404691</v>
      </c>
      <c r="I10" s="452">
        <f t="shared" si="1"/>
        <v>6182631.6782660875</v>
      </c>
      <c r="J10" s="452">
        <f t="shared" si="1"/>
        <v>5459936.9453967316</v>
      </c>
    </row>
    <row r="11" spans="1:12">
      <c r="A11" s="453">
        <v>3</v>
      </c>
      <c r="B11" s="454" t="str">
        <f>B171</f>
        <v>APOIO AO COMITÊ DE BACIA HIDROGRÁFICA</v>
      </c>
      <c r="C11" s="455"/>
      <c r="D11" s="455"/>
      <c r="E11" s="456">
        <f>E171</f>
        <v>6716568.5632916726</v>
      </c>
      <c r="F11" s="456">
        <f t="shared" ref="F11:J11" si="2">F171</f>
        <v>1009519.8746840144</v>
      </c>
      <c r="G11" s="456">
        <f t="shared" si="2"/>
        <v>1384984.2618723856</v>
      </c>
      <c r="H11" s="456">
        <f t="shared" si="2"/>
        <v>1432183.6323472811</v>
      </c>
      <c r="I11" s="456">
        <f t="shared" si="2"/>
        <v>1423470.9776411722</v>
      </c>
      <c r="J11" s="456">
        <f t="shared" si="2"/>
        <v>1466409.8167468193</v>
      </c>
    </row>
    <row r="12" spans="1:12">
      <c r="A12" s="457">
        <v>4</v>
      </c>
      <c r="B12" s="458" t="str">
        <f>B185</f>
        <v>MANUTENÇÃO DO COMITÊ DE BACIA HIDROGRÁFICA E DA ENTIDADE DELEGATÁRIA</v>
      </c>
      <c r="C12" s="459"/>
      <c r="D12" s="459"/>
      <c r="E12" s="460">
        <f>E185</f>
        <v>6991256.9073305605</v>
      </c>
      <c r="F12" s="460">
        <f t="shared" ref="F12:J12" si="3">F185</f>
        <v>1272446</v>
      </c>
      <c r="G12" s="460">
        <f t="shared" si="3"/>
        <v>1346723.04</v>
      </c>
      <c r="H12" s="460">
        <f t="shared" si="3"/>
        <v>1400591.9616</v>
      </c>
      <c r="I12" s="460">
        <f t="shared" si="3"/>
        <v>1456615.6400640002</v>
      </c>
      <c r="J12" s="460">
        <f t="shared" si="3"/>
        <v>1514880.2656665603</v>
      </c>
    </row>
    <row r="13" spans="1:12" ht="5.0999999999999996" customHeight="1"/>
    <row r="14" spans="1:12">
      <c r="A14" s="443"/>
      <c r="B14" s="443" t="s">
        <v>228</v>
      </c>
      <c r="C14" s="443"/>
      <c r="D14" s="443"/>
      <c r="E14" s="461">
        <f>SUM(E9:E12)+0.5</f>
        <v>144649010.92318562</v>
      </c>
      <c r="F14" s="461">
        <f>SUM(F9:F12)</f>
        <v>41023179.511237174</v>
      </c>
      <c r="G14" s="461">
        <f t="shared" ref="G14:J14" si="4">SUM(G9:G12)</f>
        <v>28976932.83998264</v>
      </c>
      <c r="H14" s="461">
        <f t="shared" si="4"/>
        <v>49307215.854417562</v>
      </c>
      <c r="I14" s="461">
        <f t="shared" si="4"/>
        <v>12907687.361543246</v>
      </c>
      <c r="J14" s="461">
        <f t="shared" si="4"/>
        <v>12433994.856004976</v>
      </c>
      <c r="L14" s="616"/>
    </row>
    <row r="15" spans="1:12">
      <c r="K15" s="565"/>
      <c r="L15" s="565"/>
    </row>
    <row r="16" spans="1:12">
      <c r="A16" s="463" t="s">
        <v>190</v>
      </c>
      <c r="B16" s="823" t="s">
        <v>191</v>
      </c>
      <c r="C16" s="824"/>
      <c r="D16" s="824"/>
      <c r="E16" s="464">
        <f t="shared" ref="E16:J16" si="5">E17+E26+E36+E46+E54+E60+E64+E79+E95+E113</f>
        <v>59055748.007033035</v>
      </c>
      <c r="F16" s="464">
        <f t="shared" si="5"/>
        <v>6043471.6309419433</v>
      </c>
      <c r="G16" s="464">
        <f t="shared" si="5"/>
        <v>4608398.9124944229</v>
      </c>
      <c r="H16" s="464">
        <f t="shared" si="5"/>
        <v>40566140.569829814</v>
      </c>
      <c r="I16" s="464">
        <f t="shared" si="5"/>
        <v>3844969.0655719852</v>
      </c>
      <c r="J16" s="464">
        <f t="shared" si="5"/>
        <v>3992767.8281948641</v>
      </c>
    </row>
    <row r="17" spans="1:10" ht="15" customHeight="1">
      <c r="A17" s="465" t="s">
        <v>192</v>
      </c>
      <c r="B17" s="466" t="s">
        <v>192</v>
      </c>
      <c r="C17" s="813" t="s">
        <v>351</v>
      </c>
      <c r="D17" s="814"/>
      <c r="E17" s="475">
        <f>E19+E22+E24</f>
        <v>444537.61281840858</v>
      </c>
      <c r="F17" s="475">
        <f t="shared" ref="F17:J17" si="6">F19+F22+F24</f>
        <v>148179.20427280286</v>
      </c>
      <c r="G17" s="475">
        <f t="shared" si="6"/>
        <v>296358.40854560572</v>
      </c>
      <c r="H17" s="475">
        <f t="shared" si="6"/>
        <v>0</v>
      </c>
      <c r="I17" s="475">
        <f t="shared" si="6"/>
        <v>0</v>
      </c>
      <c r="J17" s="475">
        <f t="shared" si="6"/>
        <v>0</v>
      </c>
    </row>
    <row r="18" spans="1:10" ht="15" customHeight="1">
      <c r="A18" s="618" t="s">
        <v>193</v>
      </c>
      <c r="B18" s="619" t="s">
        <v>417</v>
      </c>
      <c r="C18" s="813" t="s">
        <v>195</v>
      </c>
      <c r="D18" s="814"/>
      <c r="E18" s="467"/>
      <c r="F18" s="467"/>
      <c r="G18" s="467"/>
      <c r="H18" s="467"/>
      <c r="I18" s="467"/>
      <c r="J18" s="467"/>
    </row>
    <row r="19" spans="1:10" ht="15" customHeight="1">
      <c r="A19" s="621" t="s">
        <v>194</v>
      </c>
      <c r="B19" s="622"/>
      <c r="C19" s="825" t="s">
        <v>352</v>
      </c>
      <c r="D19" s="826"/>
      <c r="E19" s="478">
        <f>E20</f>
        <v>444537.61281840858</v>
      </c>
      <c r="F19" s="478">
        <f t="shared" ref="F19:J19" si="7">F20</f>
        <v>148179.20427280286</v>
      </c>
      <c r="G19" s="478">
        <f t="shared" si="7"/>
        <v>296358.40854560572</v>
      </c>
      <c r="H19" s="478">
        <f t="shared" si="7"/>
        <v>0</v>
      </c>
      <c r="I19" s="478">
        <f t="shared" si="7"/>
        <v>0</v>
      </c>
      <c r="J19" s="478">
        <f t="shared" si="7"/>
        <v>0</v>
      </c>
    </row>
    <row r="20" spans="1:10" ht="15" customHeight="1">
      <c r="A20" s="623"/>
      <c r="B20" s="623"/>
      <c r="C20" s="617" t="s">
        <v>418</v>
      </c>
      <c r="D20" s="468" t="str">
        <f>'Ação 1.1.1 '!D34:M34</f>
        <v>Acompanhamento da atualização e revisão do Plano de Recursos Hídricos (PRH)</v>
      </c>
      <c r="E20" s="564">
        <f>SUM(F20:J20)</f>
        <v>444537.61281840858</v>
      </c>
      <c r="F20" s="564">
        <f>'Acompanhamento PIRH '!G25*1/3</f>
        <v>148179.20427280286</v>
      </c>
      <c r="G20" s="564">
        <f>'Acompanhamento PIRH '!G25*2/3</f>
        <v>296358.40854560572</v>
      </c>
      <c r="H20" s="480">
        <v>0</v>
      </c>
      <c r="I20" s="480">
        <v>0</v>
      </c>
      <c r="J20" s="480">
        <v>0</v>
      </c>
    </row>
    <row r="21" spans="1:10" ht="15" customHeight="1">
      <c r="A21" s="623"/>
      <c r="B21" s="623"/>
      <c r="C21" s="617"/>
      <c r="D21" s="468" t="s">
        <v>479</v>
      </c>
      <c r="E21" s="480"/>
      <c r="F21" s="480"/>
      <c r="G21" s="480"/>
      <c r="H21" s="469"/>
      <c r="I21" s="469"/>
      <c r="J21" s="469"/>
    </row>
    <row r="22" spans="1:10" ht="15" customHeight="1">
      <c r="A22" s="621" t="s">
        <v>196</v>
      </c>
      <c r="B22" s="624"/>
      <c r="C22" s="867" t="s">
        <v>197</v>
      </c>
      <c r="D22" s="868"/>
      <c r="E22" s="470"/>
      <c r="F22" s="470"/>
      <c r="G22" s="470"/>
      <c r="H22" s="470"/>
      <c r="I22" s="470"/>
      <c r="J22" s="470"/>
    </row>
    <row r="23" spans="1:10" ht="15" customHeight="1">
      <c r="A23" s="623"/>
      <c r="B23" s="623"/>
      <c r="C23" s="617" t="s">
        <v>419</v>
      </c>
      <c r="D23" s="468" t="s">
        <v>420</v>
      </c>
      <c r="E23" s="469"/>
      <c r="F23" s="469"/>
      <c r="G23" s="469"/>
      <c r="H23" s="469"/>
      <c r="I23" s="469"/>
      <c r="J23" s="469"/>
    </row>
    <row r="24" spans="1:10" ht="15" customHeight="1">
      <c r="A24" s="621" t="s">
        <v>198</v>
      </c>
      <c r="B24" s="624"/>
      <c r="C24" s="869" t="s">
        <v>199</v>
      </c>
      <c r="D24" s="870"/>
      <c r="E24" s="470"/>
      <c r="F24" s="470"/>
      <c r="G24" s="470"/>
      <c r="H24" s="470"/>
      <c r="I24" s="470"/>
      <c r="J24" s="470"/>
    </row>
    <row r="25" spans="1:10" ht="15" customHeight="1">
      <c r="A25" s="623"/>
      <c r="B25" s="623"/>
      <c r="C25" s="617" t="s">
        <v>421</v>
      </c>
      <c r="D25" s="468" t="s">
        <v>617</v>
      </c>
      <c r="E25" s="469"/>
      <c r="F25" s="469"/>
      <c r="G25" s="469"/>
      <c r="H25" s="469"/>
      <c r="I25" s="469"/>
      <c r="J25" s="469"/>
    </row>
    <row r="26" spans="1:10" ht="15" customHeight="1">
      <c r="A26" s="620" t="s">
        <v>192</v>
      </c>
      <c r="B26" s="620" t="s">
        <v>192</v>
      </c>
      <c r="C26" s="813" t="s">
        <v>422</v>
      </c>
      <c r="D26" s="814"/>
      <c r="E26" s="467"/>
      <c r="F26" s="467"/>
      <c r="G26" s="467"/>
      <c r="H26" s="467"/>
      <c r="I26" s="467"/>
      <c r="J26" s="467"/>
    </row>
    <row r="27" spans="1:10" ht="15" customHeight="1">
      <c r="A27" s="465" t="s">
        <v>193</v>
      </c>
      <c r="B27" s="466" t="s">
        <v>417</v>
      </c>
      <c r="C27" s="813" t="s">
        <v>195</v>
      </c>
      <c r="D27" s="814"/>
      <c r="E27" s="467"/>
      <c r="F27" s="467"/>
      <c r="G27" s="467"/>
      <c r="H27" s="467"/>
      <c r="I27" s="467"/>
      <c r="J27" s="467"/>
    </row>
    <row r="28" spans="1:10" ht="30" customHeight="1">
      <c r="A28" s="476" t="s">
        <v>423</v>
      </c>
      <c r="B28" s="477" t="s">
        <v>778</v>
      </c>
      <c r="C28" s="827" t="s">
        <v>424</v>
      </c>
      <c r="D28" s="828"/>
      <c r="E28" s="478"/>
      <c r="F28" s="478"/>
      <c r="G28" s="478"/>
      <c r="H28" s="478"/>
      <c r="I28" s="478"/>
      <c r="J28" s="478"/>
    </row>
    <row r="29" spans="1:10">
      <c r="A29" s="471"/>
      <c r="B29" s="131"/>
      <c r="C29" s="131"/>
      <c r="D29" s="472"/>
      <c r="E29" s="473"/>
      <c r="F29" s="473"/>
      <c r="G29" s="473"/>
      <c r="H29" s="473"/>
      <c r="I29" s="473"/>
      <c r="J29" s="473"/>
    </row>
    <row r="30" spans="1:10" ht="30" customHeight="1">
      <c r="A30" s="476" t="s">
        <v>425</v>
      </c>
      <c r="B30" s="477"/>
      <c r="C30" s="827" t="s">
        <v>426</v>
      </c>
      <c r="D30" s="828"/>
      <c r="E30" s="478"/>
      <c r="F30" s="478"/>
      <c r="G30" s="478"/>
      <c r="H30" s="478"/>
      <c r="I30" s="478"/>
      <c r="J30" s="478"/>
    </row>
    <row r="31" spans="1:10">
      <c r="A31" s="471"/>
      <c r="B31" s="131"/>
      <c r="C31" s="131"/>
      <c r="D31" s="472"/>
      <c r="E31" s="473"/>
      <c r="F31" s="473"/>
      <c r="G31" s="473"/>
      <c r="H31" s="473"/>
      <c r="I31" s="473"/>
      <c r="J31" s="473"/>
    </row>
    <row r="32" spans="1:10" ht="20.100000000000001" customHeight="1">
      <c r="A32" s="476" t="s">
        <v>427</v>
      </c>
      <c r="B32" s="477"/>
      <c r="C32" s="827" t="s">
        <v>428</v>
      </c>
      <c r="D32" s="828"/>
      <c r="E32" s="478"/>
      <c r="F32" s="478"/>
      <c r="G32" s="478"/>
      <c r="H32" s="478"/>
      <c r="I32" s="478"/>
      <c r="J32" s="478"/>
    </row>
    <row r="33" spans="1:10">
      <c r="A33" s="471"/>
      <c r="B33" s="131"/>
      <c r="C33" s="131"/>
      <c r="D33" s="474"/>
      <c r="E33" s="473"/>
      <c r="F33" s="473"/>
      <c r="G33" s="473"/>
      <c r="H33" s="473"/>
      <c r="I33" s="473"/>
      <c r="J33" s="473"/>
    </row>
    <row r="34" spans="1:10" ht="20.100000000000001" customHeight="1">
      <c r="A34" s="476" t="s">
        <v>429</v>
      </c>
      <c r="B34" s="477"/>
      <c r="C34" s="827" t="s">
        <v>430</v>
      </c>
      <c r="D34" s="828"/>
      <c r="E34" s="478"/>
      <c r="F34" s="478"/>
      <c r="G34" s="478"/>
      <c r="H34" s="478"/>
      <c r="I34" s="478"/>
      <c r="J34" s="478"/>
    </row>
    <row r="35" spans="1:10">
      <c r="A35" s="471"/>
      <c r="B35" s="131"/>
      <c r="C35" s="131"/>
      <c r="D35" s="611"/>
      <c r="E35" s="473"/>
      <c r="F35" s="473"/>
      <c r="G35" s="473"/>
      <c r="H35" s="473"/>
      <c r="I35" s="473"/>
      <c r="J35" s="473"/>
    </row>
    <row r="36" spans="1:10">
      <c r="A36" s="465" t="s">
        <v>192</v>
      </c>
      <c r="B36" s="466" t="s">
        <v>192</v>
      </c>
      <c r="C36" s="813" t="s">
        <v>431</v>
      </c>
      <c r="D36" s="814"/>
      <c r="E36" s="467"/>
      <c r="F36" s="467"/>
      <c r="G36" s="467"/>
      <c r="H36" s="467"/>
      <c r="I36" s="467"/>
      <c r="J36" s="467"/>
    </row>
    <row r="37" spans="1:10">
      <c r="A37" s="465" t="s">
        <v>193</v>
      </c>
      <c r="B37" s="466" t="s">
        <v>417</v>
      </c>
      <c r="C37" s="813" t="s">
        <v>195</v>
      </c>
      <c r="D37" s="814"/>
      <c r="E37" s="467"/>
      <c r="F37" s="467"/>
      <c r="G37" s="467"/>
      <c r="H37" s="467"/>
      <c r="I37" s="467"/>
      <c r="J37" s="467"/>
    </row>
    <row r="38" spans="1:10" ht="20.100000000000001" customHeight="1">
      <c r="A38" s="476" t="s">
        <v>432</v>
      </c>
      <c r="B38" s="477" t="s">
        <v>779</v>
      </c>
      <c r="C38" s="827" t="s">
        <v>433</v>
      </c>
      <c r="D38" s="828"/>
      <c r="E38" s="478"/>
      <c r="F38" s="478"/>
      <c r="G38" s="478"/>
      <c r="H38" s="478"/>
      <c r="I38" s="478"/>
      <c r="J38" s="478"/>
    </row>
    <row r="39" spans="1:10">
      <c r="A39" s="471"/>
      <c r="B39" s="131"/>
      <c r="C39" s="131"/>
      <c r="D39" s="474"/>
      <c r="E39" s="473"/>
      <c r="F39" s="473"/>
      <c r="G39" s="473"/>
      <c r="H39" s="473"/>
      <c r="I39" s="473"/>
      <c r="J39" s="473"/>
    </row>
    <row r="40" spans="1:10" ht="20.100000000000001" customHeight="1">
      <c r="A40" s="476" t="s">
        <v>434</v>
      </c>
      <c r="B40" s="477"/>
      <c r="C40" s="827" t="s">
        <v>435</v>
      </c>
      <c r="D40" s="828"/>
      <c r="E40" s="478"/>
      <c r="F40" s="478"/>
      <c r="G40" s="478"/>
      <c r="H40" s="478"/>
      <c r="I40" s="478"/>
      <c r="J40" s="478"/>
    </row>
    <row r="41" spans="1:10">
      <c r="A41" s="471"/>
      <c r="B41" s="131"/>
      <c r="C41" s="131"/>
      <c r="D41" s="474"/>
      <c r="E41" s="473"/>
      <c r="F41" s="473"/>
      <c r="G41" s="473"/>
      <c r="H41" s="473"/>
      <c r="I41" s="473"/>
      <c r="J41" s="473"/>
    </row>
    <row r="42" spans="1:10" ht="20.100000000000001" customHeight="1">
      <c r="A42" s="476" t="s">
        <v>436</v>
      </c>
      <c r="B42" s="477" t="s">
        <v>780</v>
      </c>
      <c r="C42" s="827" t="s">
        <v>437</v>
      </c>
      <c r="D42" s="828"/>
      <c r="E42" s="478"/>
      <c r="F42" s="478"/>
      <c r="G42" s="478"/>
      <c r="H42" s="478"/>
      <c r="I42" s="478"/>
      <c r="J42" s="478"/>
    </row>
    <row r="43" spans="1:10">
      <c r="A43" s="471"/>
      <c r="B43" s="131"/>
      <c r="C43" s="131"/>
      <c r="D43" s="474"/>
      <c r="E43" s="473"/>
      <c r="F43" s="473"/>
      <c r="G43" s="473"/>
      <c r="H43" s="473"/>
      <c r="I43" s="473"/>
      <c r="J43" s="473"/>
    </row>
    <row r="44" spans="1:10" ht="20.100000000000001" customHeight="1">
      <c r="A44" s="476" t="s">
        <v>438</v>
      </c>
      <c r="B44" s="477"/>
      <c r="C44" s="827" t="s">
        <v>439</v>
      </c>
      <c r="D44" s="828"/>
      <c r="E44" s="478"/>
      <c r="F44" s="478"/>
      <c r="G44" s="478"/>
      <c r="H44" s="478"/>
      <c r="I44" s="478"/>
      <c r="J44" s="478"/>
    </row>
    <row r="45" spans="1:10">
      <c r="A45" s="471"/>
      <c r="B45" s="131"/>
      <c r="C45" s="131"/>
      <c r="D45" s="612"/>
      <c r="E45" s="473"/>
      <c r="F45" s="473"/>
      <c r="G45" s="473"/>
      <c r="H45" s="473"/>
      <c r="I45" s="473"/>
      <c r="J45" s="473"/>
    </row>
    <row r="46" spans="1:10">
      <c r="A46" s="465" t="s">
        <v>192</v>
      </c>
      <c r="B46" s="466" t="s">
        <v>192</v>
      </c>
      <c r="C46" s="813" t="s">
        <v>440</v>
      </c>
      <c r="D46" s="814"/>
      <c r="E46" s="475">
        <f t="shared" ref="E46:J46" si="8">E48+E50+E52</f>
        <v>3485403.5673600002</v>
      </c>
      <c r="F46" s="475">
        <f t="shared" si="8"/>
        <v>643500</v>
      </c>
      <c r="G46" s="475">
        <f t="shared" si="8"/>
        <v>669240</v>
      </c>
      <c r="H46" s="475">
        <f t="shared" si="8"/>
        <v>696009.6</v>
      </c>
      <c r="I46" s="475">
        <f t="shared" si="8"/>
        <v>723849.98400000005</v>
      </c>
      <c r="J46" s="475">
        <f t="shared" si="8"/>
        <v>752803.98336000007</v>
      </c>
    </row>
    <row r="47" spans="1:10">
      <c r="A47" s="465" t="s">
        <v>193</v>
      </c>
      <c r="B47" s="466" t="s">
        <v>417</v>
      </c>
      <c r="C47" s="813" t="s">
        <v>195</v>
      </c>
      <c r="D47" s="814"/>
      <c r="E47" s="467"/>
      <c r="F47" s="467"/>
      <c r="G47" s="467"/>
      <c r="H47" s="467"/>
      <c r="I47" s="467"/>
      <c r="J47" s="467"/>
    </row>
    <row r="48" spans="1:10" ht="30" customHeight="1">
      <c r="A48" s="476" t="s">
        <v>441</v>
      </c>
      <c r="B48" s="477" t="s">
        <v>644</v>
      </c>
      <c r="C48" s="827" t="s">
        <v>442</v>
      </c>
      <c r="D48" s="828"/>
      <c r="E48" s="478">
        <f>E49</f>
        <v>3485403.5673600002</v>
      </c>
      <c r="F48" s="478">
        <f t="shared" ref="F48:J48" si="9">F49</f>
        <v>643500</v>
      </c>
      <c r="G48" s="478">
        <f t="shared" si="9"/>
        <v>669240</v>
      </c>
      <c r="H48" s="478">
        <f t="shared" si="9"/>
        <v>696009.6</v>
      </c>
      <c r="I48" s="478">
        <f t="shared" si="9"/>
        <v>723849.98400000005</v>
      </c>
      <c r="J48" s="478">
        <f t="shared" si="9"/>
        <v>752803.98336000007</v>
      </c>
    </row>
    <row r="49" spans="1:10" ht="33" customHeight="1">
      <c r="A49" s="471"/>
      <c r="B49" s="131"/>
      <c r="C49" s="605" t="s">
        <v>443</v>
      </c>
      <c r="D49" s="610" t="s">
        <v>655</v>
      </c>
      <c r="E49" s="607">
        <f>SUM(F49:J49)</f>
        <v>3485403.5673600002</v>
      </c>
      <c r="F49" s="607">
        <f>'Ação 1.4.1 '!D26</f>
        <v>643500</v>
      </c>
      <c r="G49" s="607">
        <f>'Ação 1.4.1 '!F26</f>
        <v>669240</v>
      </c>
      <c r="H49" s="607">
        <f>'Ação 1.4.1 '!H26:I26</f>
        <v>696009.6</v>
      </c>
      <c r="I49" s="607">
        <f>'Ação 1.4.1 '!J26</f>
        <v>723849.98400000005</v>
      </c>
      <c r="J49" s="607">
        <f>'Ação 1.4.1 '!L26</f>
        <v>752803.98336000007</v>
      </c>
    </row>
    <row r="50" spans="1:10" ht="20.100000000000001" customHeight="1">
      <c r="A50" s="476" t="s">
        <v>444</v>
      </c>
      <c r="B50" s="477"/>
      <c r="C50" s="827" t="s">
        <v>445</v>
      </c>
      <c r="D50" s="828"/>
      <c r="E50" s="478">
        <f>E51</f>
        <v>0</v>
      </c>
      <c r="F50" s="478">
        <f t="shared" ref="F50:J50" si="10">F51</f>
        <v>0</v>
      </c>
      <c r="G50" s="478">
        <f t="shared" si="10"/>
        <v>0</v>
      </c>
      <c r="H50" s="478">
        <f t="shared" si="10"/>
        <v>0</v>
      </c>
      <c r="I50" s="478">
        <f t="shared" si="10"/>
        <v>0</v>
      </c>
      <c r="J50" s="478">
        <f t="shared" si="10"/>
        <v>0</v>
      </c>
    </row>
    <row r="51" spans="1:10">
      <c r="A51" s="471"/>
      <c r="B51" s="131"/>
      <c r="C51" s="555" t="s">
        <v>446</v>
      </c>
      <c r="D51" s="556" t="s">
        <v>447</v>
      </c>
      <c r="E51" s="480">
        <f>SUM(F51:J51)</f>
        <v>0</v>
      </c>
      <c r="F51" s="480">
        <v>0</v>
      </c>
      <c r="G51" s="480">
        <v>0</v>
      </c>
      <c r="H51" s="480">
        <v>0</v>
      </c>
      <c r="I51" s="480">
        <v>0</v>
      </c>
      <c r="J51" s="480">
        <v>0</v>
      </c>
    </row>
    <row r="52" spans="1:10" ht="20.100000000000001" customHeight="1">
      <c r="A52" s="476" t="s">
        <v>448</v>
      </c>
      <c r="B52" s="477"/>
      <c r="C52" s="827" t="s">
        <v>449</v>
      </c>
      <c r="D52" s="828"/>
      <c r="E52" s="478">
        <f>E53</f>
        <v>0</v>
      </c>
      <c r="F52" s="478">
        <f>F53</f>
        <v>0</v>
      </c>
      <c r="G52" s="478">
        <f t="shared" ref="G52:J52" si="11">G53</f>
        <v>0</v>
      </c>
      <c r="H52" s="478">
        <f t="shared" si="11"/>
        <v>0</v>
      </c>
      <c r="I52" s="478">
        <f t="shared" si="11"/>
        <v>0</v>
      </c>
      <c r="J52" s="478">
        <f t="shared" si="11"/>
        <v>0</v>
      </c>
    </row>
    <row r="53" spans="1:10">
      <c r="A53" s="471"/>
      <c r="B53" s="131"/>
      <c r="C53" s="131"/>
      <c r="D53" s="131"/>
      <c r="E53" s="131"/>
      <c r="F53" s="131"/>
      <c r="G53" s="131"/>
      <c r="H53" s="131"/>
      <c r="I53" s="131"/>
      <c r="J53" s="131"/>
    </row>
    <row r="54" spans="1:10">
      <c r="A54" s="465" t="s">
        <v>192</v>
      </c>
      <c r="B54" s="466" t="s">
        <v>192</v>
      </c>
      <c r="C54" s="813" t="s">
        <v>287</v>
      </c>
      <c r="D54" s="814"/>
      <c r="E54" s="467"/>
      <c r="F54" s="467"/>
      <c r="G54" s="467"/>
      <c r="H54" s="467"/>
      <c r="I54" s="467"/>
      <c r="J54" s="467"/>
    </row>
    <row r="55" spans="1:10">
      <c r="A55" s="465" t="s">
        <v>193</v>
      </c>
      <c r="B55" s="466" t="s">
        <v>417</v>
      </c>
      <c r="C55" s="813" t="s">
        <v>195</v>
      </c>
      <c r="D55" s="814"/>
      <c r="E55" s="467"/>
      <c r="F55" s="467"/>
      <c r="G55" s="467"/>
      <c r="H55" s="467"/>
      <c r="I55" s="467"/>
      <c r="J55" s="467"/>
    </row>
    <row r="56" spans="1:10" ht="30" customHeight="1">
      <c r="A56" s="476" t="s">
        <v>200</v>
      </c>
      <c r="B56" s="477" t="s">
        <v>307</v>
      </c>
      <c r="C56" s="827" t="s">
        <v>295</v>
      </c>
      <c r="D56" s="828"/>
      <c r="E56" s="478">
        <f>E57</f>
        <v>144300.43434998341</v>
      </c>
      <c r="F56" s="478">
        <f t="shared" ref="F56:J56" si="12">F57</f>
        <v>68632.786848981399</v>
      </c>
      <c r="G56" s="478">
        <f t="shared" si="12"/>
        <v>0</v>
      </c>
      <c r="H56" s="478">
        <f t="shared" si="12"/>
        <v>75667.647501001993</v>
      </c>
      <c r="I56" s="478">
        <f t="shared" si="12"/>
        <v>0</v>
      </c>
      <c r="J56" s="478">
        <f t="shared" si="12"/>
        <v>0</v>
      </c>
    </row>
    <row r="57" spans="1:10">
      <c r="A57" s="481"/>
      <c r="B57" s="482"/>
      <c r="C57" s="665" t="s">
        <v>318</v>
      </c>
      <c r="D57" s="609" t="s">
        <v>657</v>
      </c>
      <c r="E57" s="607">
        <f>SUM(F57:J57)</f>
        <v>144300.43434998341</v>
      </c>
      <c r="F57" s="607">
        <f>'Ação 1.5.1'!D27</f>
        <v>68632.786848981399</v>
      </c>
      <c r="G57" s="607">
        <v>0</v>
      </c>
      <c r="H57" s="607">
        <f>'Ação 1.5.1'!H27:I27</f>
        <v>75667.647501001993</v>
      </c>
      <c r="I57" s="607">
        <v>0</v>
      </c>
      <c r="J57" s="607">
        <v>0</v>
      </c>
    </row>
    <row r="58" spans="1:10" ht="20.100000000000001" customHeight="1">
      <c r="A58" s="476" t="s">
        <v>201</v>
      </c>
      <c r="B58" s="477"/>
      <c r="C58" s="827" t="s">
        <v>450</v>
      </c>
      <c r="D58" s="828"/>
      <c r="E58" s="478"/>
      <c r="F58" s="478"/>
      <c r="G58" s="478"/>
      <c r="H58" s="478"/>
      <c r="I58" s="478"/>
      <c r="J58" s="478"/>
    </row>
    <row r="59" spans="1:10">
      <c r="A59" s="481"/>
      <c r="B59" s="482"/>
      <c r="C59" s="482"/>
      <c r="D59" s="613"/>
      <c r="E59" s="473"/>
      <c r="F59" s="473"/>
      <c r="G59" s="473"/>
      <c r="H59" s="473"/>
      <c r="I59" s="473"/>
      <c r="J59" s="473"/>
    </row>
    <row r="60" spans="1:10">
      <c r="A60" s="465" t="s">
        <v>192</v>
      </c>
      <c r="B60" s="466" t="s">
        <v>192</v>
      </c>
      <c r="C60" s="813" t="s">
        <v>451</v>
      </c>
      <c r="D60" s="814"/>
      <c r="E60" s="467"/>
      <c r="F60" s="467"/>
      <c r="G60" s="467"/>
      <c r="H60" s="467"/>
      <c r="I60" s="467"/>
      <c r="J60" s="467"/>
    </row>
    <row r="61" spans="1:10">
      <c r="A61" s="465" t="s">
        <v>193</v>
      </c>
      <c r="B61" s="466" t="s">
        <v>417</v>
      </c>
      <c r="C61" s="813" t="s">
        <v>195</v>
      </c>
      <c r="D61" s="814"/>
      <c r="E61" s="467"/>
      <c r="F61" s="467"/>
      <c r="G61" s="467"/>
      <c r="H61" s="467"/>
      <c r="I61" s="467"/>
      <c r="J61" s="467"/>
    </row>
    <row r="62" spans="1:10" ht="20.100000000000001" customHeight="1">
      <c r="A62" s="476" t="s">
        <v>452</v>
      </c>
      <c r="B62" s="477" t="s">
        <v>781</v>
      </c>
      <c r="C62" s="827" t="s">
        <v>453</v>
      </c>
      <c r="D62" s="828"/>
      <c r="E62" s="478"/>
      <c r="F62" s="478"/>
      <c r="G62" s="478"/>
      <c r="H62" s="478"/>
      <c r="I62" s="478"/>
      <c r="J62" s="478"/>
    </row>
    <row r="63" spans="1:10">
      <c r="A63" s="471"/>
      <c r="B63" s="131"/>
      <c r="C63" s="131"/>
      <c r="D63" s="612"/>
      <c r="E63" s="473"/>
      <c r="F63" s="473"/>
      <c r="G63" s="473"/>
      <c r="H63" s="473"/>
      <c r="I63" s="473"/>
      <c r="J63" s="473"/>
    </row>
    <row r="64" spans="1:10">
      <c r="A64" s="465" t="s">
        <v>192</v>
      </c>
      <c r="B64" s="466" t="s">
        <v>192</v>
      </c>
      <c r="C64" s="813" t="s">
        <v>454</v>
      </c>
      <c r="D64" s="814"/>
      <c r="E64" s="467"/>
      <c r="F64" s="467"/>
      <c r="G64" s="467"/>
      <c r="H64" s="467"/>
      <c r="I64" s="467"/>
      <c r="J64" s="467"/>
    </row>
    <row r="65" spans="1:10">
      <c r="A65" s="465" t="s">
        <v>193</v>
      </c>
      <c r="B65" s="466" t="s">
        <v>417</v>
      </c>
      <c r="C65" s="813" t="s">
        <v>195</v>
      </c>
      <c r="D65" s="814"/>
      <c r="E65" s="467"/>
      <c r="F65" s="467"/>
      <c r="G65" s="467"/>
      <c r="H65" s="467"/>
      <c r="I65" s="467"/>
      <c r="J65" s="467"/>
    </row>
    <row r="66" spans="1:10" ht="20.100000000000001" customHeight="1">
      <c r="A66" s="476" t="s">
        <v>455</v>
      </c>
      <c r="B66" s="477" t="s">
        <v>782</v>
      </c>
      <c r="C66" s="827" t="s">
        <v>456</v>
      </c>
      <c r="D66" s="828"/>
      <c r="E66" s="478"/>
      <c r="F66" s="478"/>
      <c r="G66" s="478"/>
      <c r="H66" s="478"/>
      <c r="I66" s="478"/>
      <c r="J66" s="478"/>
    </row>
    <row r="67" spans="1:10">
      <c r="A67" s="471"/>
      <c r="B67" s="131"/>
      <c r="C67" s="131"/>
      <c r="D67" s="474"/>
      <c r="E67" s="473"/>
      <c r="F67" s="473"/>
      <c r="G67" s="473"/>
      <c r="H67" s="473"/>
      <c r="I67" s="473"/>
      <c r="J67" s="473"/>
    </row>
    <row r="68" spans="1:10" ht="20.100000000000001" customHeight="1">
      <c r="A68" s="476" t="s">
        <v>457</v>
      </c>
      <c r="B68" s="477"/>
      <c r="C68" s="827" t="s">
        <v>458</v>
      </c>
      <c r="D68" s="828"/>
      <c r="E68" s="478"/>
      <c r="F68" s="478"/>
      <c r="G68" s="478"/>
      <c r="H68" s="478"/>
      <c r="I68" s="478"/>
      <c r="J68" s="478"/>
    </row>
    <row r="69" spans="1:10">
      <c r="A69" s="471"/>
      <c r="B69" s="131"/>
      <c r="C69" s="131"/>
      <c r="D69" s="474"/>
      <c r="E69" s="473"/>
      <c r="F69" s="473"/>
      <c r="G69" s="473"/>
      <c r="H69" s="473"/>
      <c r="I69" s="473"/>
      <c r="J69" s="473"/>
    </row>
    <row r="70" spans="1:10" ht="20.100000000000001" customHeight="1">
      <c r="A70" s="476" t="s">
        <v>459</v>
      </c>
      <c r="B70" s="477"/>
      <c r="C70" s="827" t="s">
        <v>460</v>
      </c>
      <c r="D70" s="828"/>
      <c r="E70" s="478"/>
      <c r="F70" s="478"/>
      <c r="G70" s="478"/>
      <c r="H70" s="478"/>
      <c r="I70" s="478"/>
      <c r="J70" s="478"/>
    </row>
    <row r="71" spans="1:10">
      <c r="A71" s="471"/>
      <c r="B71" s="131"/>
      <c r="C71" s="131"/>
      <c r="D71" s="474"/>
      <c r="E71" s="473"/>
      <c r="F71" s="473"/>
      <c r="G71" s="473"/>
      <c r="H71" s="473"/>
      <c r="I71" s="473"/>
      <c r="J71" s="473"/>
    </row>
    <row r="72" spans="1:10" ht="20.100000000000001" customHeight="1">
      <c r="A72" s="476" t="s">
        <v>461</v>
      </c>
      <c r="B72" s="477"/>
      <c r="C72" s="827" t="s">
        <v>462</v>
      </c>
      <c r="D72" s="828"/>
      <c r="E72" s="478"/>
      <c r="F72" s="478"/>
      <c r="G72" s="478"/>
      <c r="H72" s="478"/>
      <c r="I72" s="478"/>
      <c r="J72" s="478"/>
    </row>
    <row r="73" spans="1:10">
      <c r="A73" s="471"/>
      <c r="B73" s="131"/>
      <c r="C73" s="131"/>
      <c r="D73" s="474"/>
      <c r="E73" s="473"/>
      <c r="F73" s="473"/>
      <c r="G73" s="473"/>
      <c r="H73" s="473"/>
      <c r="I73" s="473"/>
      <c r="J73" s="473"/>
    </row>
    <row r="74" spans="1:10" ht="30" customHeight="1">
      <c r="A74" s="476" t="s">
        <v>463</v>
      </c>
      <c r="B74" s="477"/>
      <c r="C74" s="827" t="s">
        <v>464</v>
      </c>
      <c r="D74" s="828"/>
      <c r="E74" s="478"/>
      <c r="F74" s="478"/>
      <c r="G74" s="478"/>
      <c r="H74" s="478"/>
      <c r="I74" s="478"/>
      <c r="J74" s="478"/>
    </row>
    <row r="75" spans="1:10">
      <c r="A75" s="471"/>
      <c r="B75" s="131"/>
      <c r="C75" s="131"/>
      <c r="D75" s="472"/>
      <c r="E75" s="473"/>
      <c r="F75" s="473"/>
      <c r="G75" s="473"/>
      <c r="H75" s="473"/>
      <c r="I75" s="473"/>
      <c r="J75" s="473"/>
    </row>
    <row r="76" spans="1:10" ht="20.100000000000001" customHeight="1">
      <c r="A76" s="476" t="s">
        <v>465</v>
      </c>
      <c r="B76" s="477"/>
      <c r="C76" s="827" t="s">
        <v>466</v>
      </c>
      <c r="D76" s="828"/>
      <c r="E76" s="478"/>
      <c r="F76" s="478"/>
      <c r="G76" s="478"/>
      <c r="H76" s="478"/>
      <c r="I76" s="478"/>
      <c r="J76" s="478"/>
    </row>
    <row r="77" spans="1:10" ht="15" customHeight="1">
      <c r="A77" s="471"/>
      <c r="B77" s="131"/>
      <c r="C77" s="614"/>
      <c r="D77" s="612"/>
      <c r="E77" s="473"/>
      <c r="F77" s="473"/>
      <c r="G77" s="473"/>
      <c r="H77" s="473"/>
      <c r="I77" s="473"/>
      <c r="J77" s="473"/>
    </row>
    <row r="78" spans="1:10">
      <c r="A78" s="483" t="s">
        <v>190</v>
      </c>
      <c r="B78" s="833" t="s">
        <v>191</v>
      </c>
      <c r="C78" s="834"/>
      <c r="D78" s="834"/>
      <c r="E78" s="484"/>
      <c r="F78" s="484"/>
      <c r="G78" s="484"/>
      <c r="H78" s="484"/>
      <c r="I78" s="484"/>
      <c r="J78" s="484"/>
    </row>
    <row r="79" spans="1:10">
      <c r="A79" s="465" t="s">
        <v>192</v>
      </c>
      <c r="B79" s="466" t="s">
        <v>192</v>
      </c>
      <c r="C79" s="813" t="s">
        <v>467</v>
      </c>
      <c r="D79" s="814"/>
      <c r="E79" s="475">
        <f>E81+E83+E85+E87+E93</f>
        <v>52063951.728088871</v>
      </c>
      <c r="F79" s="475">
        <f t="shared" ref="F79:J79" si="13">F81+F83+F85+F87+F93</f>
        <v>4773331.3158579376</v>
      </c>
      <c r="G79" s="475">
        <f t="shared" si="13"/>
        <v>2684246.1284058965</v>
      </c>
      <c r="H79" s="475">
        <f t="shared" si="13"/>
        <v>39349615.973542131</v>
      </c>
      <c r="I79" s="475">
        <f t="shared" si="13"/>
        <v>2579783.4854327962</v>
      </c>
      <c r="J79" s="475">
        <f t="shared" si="13"/>
        <v>2676974.824850108</v>
      </c>
    </row>
    <row r="80" spans="1:10">
      <c r="A80" s="465" t="s">
        <v>193</v>
      </c>
      <c r="B80" s="466" t="s">
        <v>417</v>
      </c>
      <c r="C80" s="813" t="s">
        <v>195</v>
      </c>
      <c r="D80" s="814"/>
      <c r="E80" s="467"/>
      <c r="F80" s="467"/>
      <c r="G80" s="467"/>
      <c r="H80" s="467"/>
      <c r="I80" s="467"/>
      <c r="J80" s="467"/>
    </row>
    <row r="81" spans="1:10" ht="30" customHeight="1">
      <c r="A81" s="476" t="s">
        <v>468</v>
      </c>
      <c r="B81" s="477" t="s">
        <v>933</v>
      </c>
      <c r="C81" s="829" t="s">
        <v>469</v>
      </c>
      <c r="D81" s="830"/>
      <c r="E81" s="478">
        <f>E82</f>
        <v>2000000</v>
      </c>
      <c r="F81" s="478">
        <f t="shared" ref="F81:J81" si="14">F82</f>
        <v>1000000</v>
      </c>
      <c r="G81" s="478">
        <f t="shared" si="14"/>
        <v>1000000</v>
      </c>
      <c r="H81" s="478">
        <f t="shared" si="14"/>
        <v>0</v>
      </c>
      <c r="I81" s="478">
        <f t="shared" si="14"/>
        <v>0</v>
      </c>
      <c r="J81" s="478">
        <f t="shared" si="14"/>
        <v>0</v>
      </c>
    </row>
    <row r="82" spans="1:10">
      <c r="A82" s="471"/>
      <c r="B82" s="131"/>
      <c r="C82" s="787" t="s">
        <v>954</v>
      </c>
      <c r="D82" s="788" t="s">
        <v>955</v>
      </c>
      <c r="E82" s="789">
        <f>SUM(F82:J82)</f>
        <v>2000000</v>
      </c>
      <c r="F82" s="789">
        <v>1000000</v>
      </c>
      <c r="G82" s="789">
        <v>1000000</v>
      </c>
      <c r="H82" s="789">
        <v>0</v>
      </c>
      <c r="I82" s="789">
        <v>0</v>
      </c>
      <c r="J82" s="789">
        <v>0</v>
      </c>
    </row>
    <row r="83" spans="1:10" ht="15" customHeight="1">
      <c r="A83" s="476" t="s">
        <v>470</v>
      </c>
      <c r="B83" s="477"/>
      <c r="C83" s="829" t="s">
        <v>471</v>
      </c>
      <c r="D83" s="830"/>
      <c r="E83" s="478">
        <f>E84</f>
        <v>3647280</v>
      </c>
      <c r="F83" s="478">
        <f t="shared" ref="F83:J83" si="15">F84</f>
        <v>0</v>
      </c>
      <c r="G83" s="478">
        <f t="shared" si="15"/>
        <v>1150000</v>
      </c>
      <c r="H83" s="478">
        <f t="shared" si="15"/>
        <v>800000</v>
      </c>
      <c r="I83" s="478">
        <f t="shared" si="15"/>
        <v>832000</v>
      </c>
      <c r="J83" s="478">
        <f t="shared" si="15"/>
        <v>865280</v>
      </c>
    </row>
    <row r="84" spans="1:10">
      <c r="A84" s="471"/>
      <c r="B84" s="131"/>
      <c r="C84" s="605" t="s">
        <v>666</v>
      </c>
      <c r="D84" s="609" t="s">
        <v>668</v>
      </c>
      <c r="E84" s="607">
        <f>SUM(F84:J84)</f>
        <v>3647280</v>
      </c>
      <c r="F84" s="607">
        <f>'Ação 1.8.2 '!D26</f>
        <v>0</v>
      </c>
      <c r="G84" s="607">
        <f>'Ação 1.8.2 '!F26</f>
        <v>1150000</v>
      </c>
      <c r="H84" s="607">
        <f>'Ação 1.8.2 '!H26:I26</f>
        <v>800000</v>
      </c>
      <c r="I84" s="607">
        <f>'Ação 1.8.2 '!J26</f>
        <v>832000</v>
      </c>
      <c r="J84" s="607">
        <f>'Ação 1.8.2 '!L26</f>
        <v>865280</v>
      </c>
    </row>
    <row r="85" spans="1:10" ht="30" customHeight="1">
      <c r="A85" s="476" t="s">
        <v>472</v>
      </c>
      <c r="B85" s="477"/>
      <c r="C85" s="829" t="s">
        <v>473</v>
      </c>
      <c r="D85" s="830"/>
      <c r="E85" s="478"/>
      <c r="F85" s="478"/>
      <c r="G85" s="478"/>
      <c r="H85" s="478"/>
      <c r="I85" s="478"/>
      <c r="J85" s="478"/>
    </row>
    <row r="86" spans="1:10">
      <c r="A86" s="471"/>
      <c r="B86" s="131"/>
      <c r="C86" s="487"/>
      <c r="D86" s="488"/>
      <c r="E86" s="473"/>
      <c r="F86" s="473"/>
      <c r="G86" s="473"/>
      <c r="H86" s="473"/>
      <c r="I86" s="473"/>
      <c r="J86" s="473"/>
    </row>
    <row r="87" spans="1:10" ht="30" customHeight="1">
      <c r="A87" s="476" t="s">
        <v>474</v>
      </c>
      <c r="B87" s="477" t="s">
        <v>783</v>
      </c>
      <c r="C87" s="829" t="s">
        <v>475</v>
      </c>
      <c r="D87" s="830"/>
      <c r="E87" s="478">
        <f>SUM(E88:E92)</f>
        <v>46416671.728088871</v>
      </c>
      <c r="F87" s="478">
        <f>SUM(F88:F92)</f>
        <v>3773331.3158579371</v>
      </c>
      <c r="G87" s="478">
        <f t="shared" ref="G87:J87" si="16">SUM(G88:G92)</f>
        <v>534246.12840589648</v>
      </c>
      <c r="H87" s="478">
        <f t="shared" si="16"/>
        <v>38549615.973542131</v>
      </c>
      <c r="I87" s="478">
        <f t="shared" si="16"/>
        <v>1747783.4854327962</v>
      </c>
      <c r="J87" s="478">
        <f t="shared" si="16"/>
        <v>1811694.824850108</v>
      </c>
    </row>
    <row r="88" spans="1:10" ht="45">
      <c r="A88" s="471"/>
      <c r="B88" s="131"/>
      <c r="C88" s="479" t="s">
        <v>476</v>
      </c>
      <c r="D88" s="485" t="s">
        <v>956</v>
      </c>
      <c r="E88" s="734">
        <f>SUM(F88:J88)</f>
        <v>3403863.8846984212</v>
      </c>
      <c r="F88" s="564">
        <f>'Ação 1.8.4  1 '!D26</f>
        <v>3403863.8846984212</v>
      </c>
      <c r="G88" s="564">
        <f>'Ação 1.8.4  1 '!F26</f>
        <v>0</v>
      </c>
      <c r="H88" s="564">
        <f>'Ação 1.8.4  1 '!I26</f>
        <v>0</v>
      </c>
      <c r="I88" s="564">
        <f>'Ação 1.8.4  1 '!J26</f>
        <v>0</v>
      </c>
      <c r="J88" s="564">
        <f>'Ação 1.8.4  1 '!L26</f>
        <v>0</v>
      </c>
    </row>
    <row r="89" spans="1:10">
      <c r="A89" s="471"/>
      <c r="B89" s="131"/>
      <c r="C89" s="479" t="s">
        <v>477</v>
      </c>
      <c r="D89" s="485" t="s">
        <v>698</v>
      </c>
      <c r="E89" s="734">
        <f>SUM(F89:J89)</f>
        <v>38000000</v>
      </c>
      <c r="F89" s="564">
        <f>'Ação 1.8.4   2'!D26</f>
        <v>0</v>
      </c>
      <c r="G89" s="564">
        <f>'Ação 1.8.4   2'!F26</f>
        <v>0</v>
      </c>
      <c r="H89" s="564">
        <v>38000000</v>
      </c>
      <c r="I89" s="564">
        <f>'Ação 1.8.4   2'!J26</f>
        <v>0</v>
      </c>
      <c r="J89" s="564">
        <f>'Ação 1.8.4   2'!L26</f>
        <v>0</v>
      </c>
    </row>
    <row r="90" spans="1:10">
      <c r="A90" s="471"/>
      <c r="B90" s="131"/>
      <c r="C90" s="605" t="s">
        <v>478</v>
      </c>
      <c r="D90" s="609" t="s">
        <v>703</v>
      </c>
      <c r="E90" s="607">
        <f>SUM(F90:J90)</f>
        <v>2001154.7825745328</v>
      </c>
      <c r="F90" s="607">
        <f>'Ação 1.8.4   3'!D26</f>
        <v>369467.43115951587</v>
      </c>
      <c r="G90" s="607">
        <f>'Ação 1.8.4   3'!F26</f>
        <v>384246.12840589654</v>
      </c>
      <c r="H90" s="607">
        <f>'Ação 1.8.4   3'!H26</f>
        <v>399615.97354213241</v>
      </c>
      <c r="I90" s="607">
        <f>'Ação 1.8.4   3'!J26</f>
        <v>415600.61248381773</v>
      </c>
      <c r="J90" s="607">
        <f>'Ação 1.8.4   3'!L26</f>
        <v>432224.63698317047</v>
      </c>
    </row>
    <row r="91" spans="1:10">
      <c r="A91" s="471"/>
      <c r="B91" s="131"/>
      <c r="C91" s="605" t="s">
        <v>683</v>
      </c>
      <c r="D91" s="609" t="s">
        <v>793</v>
      </c>
      <c r="E91" s="607">
        <f>SUM(F91:J91)</f>
        <v>600000</v>
      </c>
      <c r="F91" s="607">
        <v>0</v>
      </c>
      <c r="G91" s="607">
        <v>150000</v>
      </c>
      <c r="H91" s="607">
        <v>150000</v>
      </c>
      <c r="I91" s="607">
        <v>150000</v>
      </c>
      <c r="J91" s="607">
        <v>150000</v>
      </c>
    </row>
    <row r="92" spans="1:10">
      <c r="A92" s="471"/>
      <c r="B92" s="131"/>
      <c r="C92" s="479" t="s">
        <v>792</v>
      </c>
      <c r="D92" s="485" t="s">
        <v>684</v>
      </c>
      <c r="E92" s="734">
        <f>SUM(F92:J92)</f>
        <v>2411653.0608159159</v>
      </c>
      <c r="F92" s="564">
        <f>'Ação 1.8.4   5'!D26</f>
        <v>0</v>
      </c>
      <c r="G92" s="564">
        <f>'Ação 1.8.4   5'!F26</f>
        <v>0</v>
      </c>
      <c r="H92" s="564">
        <f>'Ação 1.8.4   5'!H26</f>
        <v>0</v>
      </c>
      <c r="I92" s="564">
        <f>'Ação 1.8.4   5'!J26</f>
        <v>1182182.8729489783</v>
      </c>
      <c r="J92" s="564">
        <f>'Ação 1.8.4   5'!L26</f>
        <v>1229470.1878669376</v>
      </c>
    </row>
    <row r="93" spans="1:10" ht="15" customHeight="1">
      <c r="A93" s="476" t="s">
        <v>480</v>
      </c>
      <c r="B93" s="477"/>
      <c r="C93" s="831" t="s">
        <v>481</v>
      </c>
      <c r="D93" s="832"/>
      <c r="E93" s="478"/>
      <c r="F93" s="478"/>
      <c r="G93" s="478"/>
      <c r="H93" s="478"/>
      <c r="I93" s="478"/>
      <c r="J93" s="478"/>
    </row>
    <row r="94" spans="1:10">
      <c r="A94" s="471"/>
      <c r="B94" s="131"/>
      <c r="C94" s="134"/>
      <c r="D94" s="489"/>
      <c r="E94" s="473"/>
      <c r="F94" s="473"/>
      <c r="G94" s="473"/>
      <c r="H94" s="473"/>
      <c r="I94" s="473"/>
      <c r="J94" s="473"/>
    </row>
    <row r="95" spans="1:10">
      <c r="A95" s="465" t="s">
        <v>192</v>
      </c>
      <c r="B95" s="466" t="s">
        <v>192</v>
      </c>
      <c r="C95" s="815" t="s">
        <v>482</v>
      </c>
      <c r="D95" s="816"/>
      <c r="E95" s="475">
        <f>E97+E99+E101</f>
        <v>0</v>
      </c>
      <c r="F95" s="475">
        <f t="shared" ref="F95:J95" si="17">F97+F99+F101</f>
        <v>0</v>
      </c>
      <c r="G95" s="475">
        <f t="shared" si="17"/>
        <v>0</v>
      </c>
      <c r="H95" s="475">
        <f t="shared" si="17"/>
        <v>0</v>
      </c>
      <c r="I95" s="475">
        <f t="shared" si="17"/>
        <v>0</v>
      </c>
      <c r="J95" s="475">
        <f t="shared" si="17"/>
        <v>0</v>
      </c>
    </row>
    <row r="96" spans="1:10">
      <c r="A96" s="465" t="s">
        <v>193</v>
      </c>
      <c r="B96" s="466" t="s">
        <v>417</v>
      </c>
      <c r="C96" s="813" t="s">
        <v>195</v>
      </c>
      <c r="D96" s="814"/>
      <c r="E96" s="467"/>
      <c r="F96" s="467"/>
      <c r="G96" s="467"/>
      <c r="H96" s="467"/>
      <c r="I96" s="467"/>
      <c r="J96" s="467"/>
    </row>
    <row r="97" spans="1:10" ht="30" customHeight="1">
      <c r="A97" s="476" t="s">
        <v>483</v>
      </c>
      <c r="B97" s="477"/>
      <c r="C97" s="829" t="s">
        <v>484</v>
      </c>
      <c r="D97" s="830"/>
      <c r="E97" s="486"/>
      <c r="F97" s="486"/>
      <c r="G97" s="486"/>
      <c r="H97" s="486"/>
      <c r="I97" s="486"/>
      <c r="J97" s="486"/>
    </row>
    <row r="98" spans="1:10">
      <c r="A98" s="471"/>
      <c r="B98" s="131"/>
      <c r="C98" s="487"/>
      <c r="D98" s="488"/>
      <c r="E98" s="473"/>
      <c r="F98" s="473"/>
      <c r="G98" s="473"/>
      <c r="H98" s="473"/>
      <c r="I98" s="473"/>
      <c r="J98" s="473"/>
    </row>
    <row r="99" spans="1:10" ht="15" customHeight="1">
      <c r="A99" s="476" t="s">
        <v>485</v>
      </c>
      <c r="B99" s="477"/>
      <c r="C99" s="829" t="s">
        <v>486</v>
      </c>
      <c r="D99" s="830"/>
      <c r="E99" s="486"/>
      <c r="F99" s="486"/>
      <c r="G99" s="486"/>
      <c r="H99" s="486"/>
      <c r="I99" s="486"/>
      <c r="J99" s="486"/>
    </row>
    <row r="100" spans="1:10">
      <c r="A100" s="471"/>
      <c r="B100" s="131"/>
      <c r="C100" s="487"/>
      <c r="D100" s="488"/>
      <c r="E100" s="473"/>
      <c r="F100" s="473"/>
      <c r="G100" s="473"/>
      <c r="H100" s="473"/>
      <c r="I100" s="473"/>
      <c r="J100" s="473"/>
    </row>
    <row r="101" spans="1:10" ht="30" customHeight="1">
      <c r="A101" s="476" t="s">
        <v>487</v>
      </c>
      <c r="B101" s="490"/>
      <c r="C101" s="829" t="s">
        <v>488</v>
      </c>
      <c r="D101" s="830"/>
      <c r="E101" s="486"/>
      <c r="F101" s="486"/>
      <c r="G101" s="486"/>
      <c r="H101" s="486"/>
      <c r="I101" s="486"/>
      <c r="J101" s="486"/>
    </row>
    <row r="102" spans="1:10">
      <c r="A102" s="471"/>
      <c r="B102" s="131"/>
      <c r="C102" s="487"/>
      <c r="D102" s="488"/>
      <c r="E102" s="473"/>
      <c r="F102" s="473"/>
      <c r="G102" s="473"/>
      <c r="H102" s="473"/>
      <c r="I102" s="473"/>
      <c r="J102" s="473"/>
    </row>
    <row r="103" spans="1:10">
      <c r="A103" s="465" t="s">
        <v>192</v>
      </c>
      <c r="B103" s="466" t="s">
        <v>192</v>
      </c>
      <c r="C103" s="813" t="s">
        <v>489</v>
      </c>
      <c r="D103" s="814"/>
      <c r="E103" s="467"/>
      <c r="F103" s="467"/>
      <c r="G103" s="467"/>
      <c r="H103" s="467"/>
      <c r="I103" s="467"/>
      <c r="J103" s="467"/>
    </row>
    <row r="104" spans="1:10">
      <c r="A104" s="465" t="s">
        <v>193</v>
      </c>
      <c r="B104" s="466" t="s">
        <v>417</v>
      </c>
      <c r="C104" s="813" t="s">
        <v>195</v>
      </c>
      <c r="D104" s="814"/>
      <c r="E104" s="467"/>
      <c r="F104" s="467"/>
      <c r="G104" s="467"/>
      <c r="H104" s="467"/>
      <c r="I104" s="467"/>
      <c r="J104" s="467"/>
    </row>
    <row r="105" spans="1:10" ht="30" customHeight="1">
      <c r="A105" s="476" t="s">
        <v>490</v>
      </c>
      <c r="B105" s="490"/>
      <c r="C105" s="829" t="s">
        <v>491</v>
      </c>
      <c r="D105" s="830"/>
      <c r="E105" s="486"/>
      <c r="F105" s="486"/>
      <c r="G105" s="486"/>
      <c r="H105" s="486"/>
      <c r="I105" s="486"/>
      <c r="J105" s="486"/>
    </row>
    <row r="106" spans="1:10" ht="15" customHeight="1">
      <c r="A106" s="471"/>
      <c r="B106" s="131"/>
      <c r="C106" s="131"/>
      <c r="D106" s="474"/>
      <c r="E106" s="473"/>
      <c r="F106" s="473"/>
      <c r="G106" s="473"/>
      <c r="H106" s="473"/>
      <c r="I106" s="473"/>
      <c r="J106" s="473"/>
    </row>
    <row r="107" spans="1:10" ht="30" customHeight="1">
      <c r="A107" s="476" t="s">
        <v>492</v>
      </c>
      <c r="B107" s="490" t="s">
        <v>784</v>
      </c>
      <c r="C107" s="829" t="s">
        <v>493</v>
      </c>
      <c r="D107" s="830"/>
      <c r="E107" s="486"/>
      <c r="F107" s="486"/>
      <c r="G107" s="486"/>
      <c r="H107" s="486"/>
      <c r="I107" s="486"/>
      <c r="J107" s="486"/>
    </row>
    <row r="108" spans="1:10">
      <c r="A108" s="471"/>
      <c r="B108" s="131"/>
      <c r="C108" s="131"/>
      <c r="D108" s="488"/>
      <c r="E108" s="473"/>
      <c r="F108" s="473"/>
      <c r="G108" s="473"/>
      <c r="H108" s="473"/>
      <c r="I108" s="473"/>
      <c r="J108" s="473"/>
    </row>
    <row r="109" spans="1:10" ht="30" customHeight="1">
      <c r="A109" s="476" t="s">
        <v>494</v>
      </c>
      <c r="B109" s="490"/>
      <c r="C109" s="829" t="s">
        <v>495</v>
      </c>
      <c r="D109" s="830"/>
      <c r="E109" s="486"/>
      <c r="F109" s="486"/>
      <c r="G109" s="486"/>
      <c r="H109" s="486"/>
      <c r="I109" s="486"/>
      <c r="J109" s="486"/>
    </row>
    <row r="110" spans="1:10">
      <c r="A110" s="471"/>
      <c r="B110" s="131"/>
      <c r="C110" s="131"/>
      <c r="D110" s="488"/>
      <c r="E110" s="473"/>
      <c r="F110" s="473"/>
      <c r="G110" s="473"/>
      <c r="H110" s="473"/>
      <c r="I110" s="473"/>
      <c r="J110" s="473"/>
    </row>
    <row r="111" spans="1:10" ht="30" customHeight="1">
      <c r="A111" s="476" t="s">
        <v>496</v>
      </c>
      <c r="B111" s="490"/>
      <c r="C111" s="829" t="s">
        <v>497</v>
      </c>
      <c r="D111" s="830"/>
      <c r="E111" s="486"/>
      <c r="F111" s="486"/>
      <c r="G111" s="486"/>
      <c r="H111" s="486"/>
      <c r="I111" s="486"/>
      <c r="J111" s="486"/>
    </row>
    <row r="112" spans="1:10">
      <c r="A112" s="471"/>
      <c r="B112" s="131"/>
      <c r="C112" s="134"/>
      <c r="D112" s="489"/>
      <c r="E112" s="473"/>
      <c r="F112" s="473"/>
      <c r="G112" s="473"/>
      <c r="H112" s="473"/>
      <c r="I112" s="473"/>
      <c r="J112" s="473"/>
    </row>
    <row r="113" spans="1:10">
      <c r="A113" s="465" t="s">
        <v>192</v>
      </c>
      <c r="B113" s="466" t="s">
        <v>192</v>
      </c>
      <c r="C113" s="835" t="s">
        <v>498</v>
      </c>
      <c r="D113" s="836"/>
      <c r="E113" s="475">
        <f t="shared" ref="E113:J113" si="18">E115+E117+E119+E121</f>
        <v>3061855.0987657504</v>
      </c>
      <c r="F113" s="475">
        <f t="shared" si="18"/>
        <v>478461.1108112029</v>
      </c>
      <c r="G113" s="475">
        <f t="shared" si="18"/>
        <v>958554.37554292078</v>
      </c>
      <c r="H113" s="475">
        <f t="shared" si="18"/>
        <v>520514.99628768145</v>
      </c>
      <c r="I113" s="475">
        <f t="shared" si="18"/>
        <v>541335.59613918874</v>
      </c>
      <c r="J113" s="475">
        <f t="shared" si="18"/>
        <v>562989.01998475625</v>
      </c>
    </row>
    <row r="114" spans="1:10">
      <c r="A114" s="465" t="s">
        <v>193</v>
      </c>
      <c r="B114" s="466" t="s">
        <v>417</v>
      </c>
      <c r="C114" s="813" t="s">
        <v>195</v>
      </c>
      <c r="D114" s="814"/>
      <c r="E114" s="467"/>
      <c r="F114" s="467"/>
      <c r="G114" s="467"/>
      <c r="H114" s="467"/>
      <c r="I114" s="467"/>
      <c r="J114" s="467"/>
    </row>
    <row r="115" spans="1:10" ht="15" customHeight="1">
      <c r="A115" s="476" t="s">
        <v>499</v>
      </c>
      <c r="B115" s="477" t="s">
        <v>713</v>
      </c>
      <c r="C115" s="829" t="s">
        <v>500</v>
      </c>
      <c r="D115" s="830"/>
      <c r="E115" s="478">
        <f>E116</f>
        <v>2861250.2202452435</v>
      </c>
      <c r="F115" s="478">
        <f t="shared" ref="F115:J115" si="19">F116</f>
        <v>458059.1868047656</v>
      </c>
      <c r="G115" s="478">
        <f t="shared" si="19"/>
        <v>916118.37360953121</v>
      </c>
      <c r="H115" s="478">
        <f t="shared" si="19"/>
        <v>476381.55427695625</v>
      </c>
      <c r="I115" s="478">
        <f t="shared" si="19"/>
        <v>495436.81644803449</v>
      </c>
      <c r="J115" s="478">
        <f t="shared" si="19"/>
        <v>515254.28910595586</v>
      </c>
    </row>
    <row r="116" spans="1:10">
      <c r="A116" s="471"/>
      <c r="B116" s="131"/>
      <c r="C116" s="605" t="s">
        <v>501</v>
      </c>
      <c r="D116" s="608" t="s">
        <v>502</v>
      </c>
      <c r="E116" s="607">
        <f>SUM(F116:J116)</f>
        <v>2861250.2202452435</v>
      </c>
      <c r="F116" s="607">
        <f>'Ação 1.11.1   1'!D26</f>
        <v>458059.1868047656</v>
      </c>
      <c r="G116" s="607">
        <f>'Ação 1.11.1   1'!F26</f>
        <v>916118.37360953121</v>
      </c>
      <c r="H116" s="607">
        <f>'Ação 1.11.1   1'!H26</f>
        <v>476381.55427695625</v>
      </c>
      <c r="I116" s="607">
        <f>'Ação 1.11.1   1'!J26</f>
        <v>495436.81644803449</v>
      </c>
      <c r="J116" s="607">
        <f>'Ação 1.11.1   1'!L26</f>
        <v>515254.28910595586</v>
      </c>
    </row>
    <row r="117" spans="1:10" ht="15" customHeight="1">
      <c r="A117" s="476" t="s">
        <v>504</v>
      </c>
      <c r="B117" s="477"/>
      <c r="C117" s="829" t="s">
        <v>505</v>
      </c>
      <c r="D117" s="830"/>
      <c r="E117" s="478">
        <f>E118</f>
        <v>0</v>
      </c>
      <c r="F117" s="478">
        <f t="shared" ref="F117:J117" si="20">F118</f>
        <v>0</v>
      </c>
      <c r="G117" s="478">
        <f t="shared" si="20"/>
        <v>0</v>
      </c>
      <c r="H117" s="478">
        <f t="shared" si="20"/>
        <v>0</v>
      </c>
      <c r="I117" s="478">
        <f t="shared" si="20"/>
        <v>0</v>
      </c>
      <c r="J117" s="478">
        <f t="shared" si="20"/>
        <v>0</v>
      </c>
    </row>
    <row r="118" spans="1:10">
      <c r="A118" s="471"/>
      <c r="B118" s="131"/>
      <c r="C118" s="131"/>
      <c r="D118" s="474"/>
      <c r="E118" s="473"/>
      <c r="F118" s="473"/>
      <c r="G118" s="473"/>
      <c r="H118" s="473"/>
      <c r="I118" s="473"/>
      <c r="J118" s="473"/>
    </row>
    <row r="119" spans="1:10" ht="15" customHeight="1">
      <c r="A119" s="476" t="s">
        <v>506</v>
      </c>
      <c r="B119" s="477" t="s">
        <v>785</v>
      </c>
      <c r="C119" s="829" t="s">
        <v>507</v>
      </c>
      <c r="D119" s="830"/>
      <c r="E119" s="478">
        <f>E120</f>
        <v>0</v>
      </c>
      <c r="F119" s="478">
        <f t="shared" ref="F119:J119" si="21">F120</f>
        <v>0</v>
      </c>
      <c r="G119" s="478">
        <f t="shared" si="21"/>
        <v>0</v>
      </c>
      <c r="H119" s="478">
        <f t="shared" si="21"/>
        <v>0</v>
      </c>
      <c r="I119" s="478">
        <f t="shared" si="21"/>
        <v>0</v>
      </c>
      <c r="J119" s="478">
        <f t="shared" si="21"/>
        <v>0</v>
      </c>
    </row>
    <row r="120" spans="1:10">
      <c r="A120" s="471"/>
      <c r="B120" s="131"/>
    </row>
    <row r="121" spans="1:10" ht="15" customHeight="1">
      <c r="A121" s="476" t="s">
        <v>508</v>
      </c>
      <c r="B121" s="477" t="s">
        <v>736</v>
      </c>
      <c r="C121" s="829" t="s">
        <v>509</v>
      </c>
      <c r="D121" s="830"/>
      <c r="E121" s="478">
        <f>E122</f>
        <v>200604.87852050675</v>
      </c>
      <c r="F121" s="478">
        <f t="shared" ref="F121:J121" si="22">F122</f>
        <v>20401.924006437315</v>
      </c>
      <c r="G121" s="478">
        <f t="shared" si="22"/>
        <v>42436.00193338962</v>
      </c>
      <c r="H121" s="478">
        <f t="shared" si="22"/>
        <v>44133.442010725208</v>
      </c>
      <c r="I121" s="478">
        <f t="shared" si="22"/>
        <v>45898.779691154217</v>
      </c>
      <c r="J121" s="478">
        <f t="shared" si="22"/>
        <v>47734.730878800387</v>
      </c>
    </row>
    <row r="122" spans="1:10">
      <c r="A122" s="471"/>
      <c r="B122" s="131"/>
      <c r="C122" s="605" t="s">
        <v>510</v>
      </c>
      <c r="D122" s="608" t="s">
        <v>511</v>
      </c>
      <c r="E122" s="607">
        <f>SUM(F122:J122)</f>
        <v>200604.87852050675</v>
      </c>
      <c r="F122" s="607">
        <f>'Ação 1.11.4  1'!D26</f>
        <v>20401.924006437315</v>
      </c>
      <c r="G122" s="607">
        <f>'Ação 1.11.4  1'!F26</f>
        <v>42436.00193338962</v>
      </c>
      <c r="H122" s="607">
        <f>'Ação 1.11.4  1'!H26</f>
        <v>44133.442010725208</v>
      </c>
      <c r="I122" s="607">
        <f>'Ação 1.11.4  1'!J26</f>
        <v>45898.779691154217</v>
      </c>
      <c r="J122" s="607">
        <f>'Ação 1.11.4  1'!L26</f>
        <v>47734.730878800387</v>
      </c>
    </row>
    <row r="123" spans="1:10" ht="15" customHeight="1"/>
    <row r="124" spans="1:10">
      <c r="A124" s="491" t="s">
        <v>190</v>
      </c>
      <c r="B124" s="817" t="s">
        <v>512</v>
      </c>
      <c r="C124" s="818"/>
      <c r="D124" s="818"/>
      <c r="E124" s="492">
        <f t="shared" ref="E124:J124" si="23">E125+E146+E157</f>
        <v>71885436.94553034</v>
      </c>
      <c r="F124" s="492">
        <f t="shared" si="23"/>
        <v>32697742.005611219</v>
      </c>
      <c r="G124" s="492">
        <f t="shared" si="23"/>
        <v>21636826.625615835</v>
      </c>
      <c r="H124" s="492">
        <f t="shared" si="23"/>
        <v>5908299.6906404691</v>
      </c>
      <c r="I124" s="492">
        <f t="shared" si="23"/>
        <v>6182631.6782660875</v>
      </c>
      <c r="J124" s="492">
        <f t="shared" si="23"/>
        <v>5459936.9453967316</v>
      </c>
    </row>
    <row r="125" spans="1:10">
      <c r="A125" s="493" t="s">
        <v>192</v>
      </c>
      <c r="B125" s="494" t="s">
        <v>192</v>
      </c>
      <c r="C125" s="819" t="s">
        <v>513</v>
      </c>
      <c r="D125" s="820"/>
      <c r="E125" s="495">
        <f>E127+E129</f>
        <v>24245846.418833371</v>
      </c>
      <c r="F125" s="495">
        <f t="shared" ref="F125:J125" si="24">F127+F129</f>
        <v>16851998.94887381</v>
      </c>
      <c r="G125" s="495">
        <f t="shared" si="24"/>
        <v>2043413.3128079176</v>
      </c>
      <c r="H125" s="495">
        <f t="shared" si="24"/>
        <v>2079149.8453202345</v>
      </c>
      <c r="I125" s="495">
        <f t="shared" si="24"/>
        <v>2116315.8391330438</v>
      </c>
      <c r="J125" s="495">
        <f t="shared" si="24"/>
        <v>1154968.4726983656</v>
      </c>
    </row>
    <row r="126" spans="1:10">
      <c r="A126" s="493" t="s">
        <v>193</v>
      </c>
      <c r="B126" s="494" t="s">
        <v>417</v>
      </c>
      <c r="C126" s="837" t="s">
        <v>195</v>
      </c>
      <c r="D126" s="838"/>
      <c r="E126" s="496"/>
      <c r="F126" s="496"/>
      <c r="G126" s="496"/>
      <c r="H126" s="496"/>
      <c r="I126" s="496"/>
      <c r="J126" s="496"/>
    </row>
    <row r="127" spans="1:10" ht="20.100000000000001" customHeight="1">
      <c r="A127" s="497" t="s">
        <v>514</v>
      </c>
      <c r="B127" s="498" t="s">
        <v>751</v>
      </c>
      <c r="C127" s="839" t="s">
        <v>515</v>
      </c>
      <c r="D127" s="840"/>
      <c r="E127" s="499">
        <f>E128</f>
        <v>87739.60213640143</v>
      </c>
      <c r="F127" s="499">
        <f t="shared" ref="F127:J127" si="25">F128</f>
        <v>87739.60213640143</v>
      </c>
      <c r="G127" s="499">
        <f t="shared" si="25"/>
        <v>0</v>
      </c>
      <c r="H127" s="499">
        <f t="shared" si="25"/>
        <v>0</v>
      </c>
      <c r="I127" s="499">
        <f t="shared" si="25"/>
        <v>0</v>
      </c>
      <c r="J127" s="499">
        <f t="shared" si="25"/>
        <v>0</v>
      </c>
    </row>
    <row r="128" spans="1:10" ht="18.75" customHeight="1">
      <c r="A128" s="500"/>
      <c r="B128" s="501"/>
      <c r="C128" s="479" t="s">
        <v>516</v>
      </c>
      <c r="D128" s="468" t="s">
        <v>517</v>
      </c>
      <c r="E128" s="564">
        <f>SUM(F128:J128)</f>
        <v>87739.60213640143</v>
      </c>
      <c r="F128" s="564">
        <f>'Ação 2.1.1  1'!D26</f>
        <v>87739.60213640143</v>
      </c>
      <c r="G128" s="564">
        <v>0</v>
      </c>
      <c r="H128" s="564">
        <v>0</v>
      </c>
      <c r="I128" s="564">
        <v>0</v>
      </c>
      <c r="J128" s="564">
        <v>0</v>
      </c>
    </row>
    <row r="129" spans="1:10" ht="30" customHeight="1">
      <c r="A129" s="502" t="s">
        <v>518</v>
      </c>
      <c r="B129" s="503" t="s">
        <v>786</v>
      </c>
      <c r="C129" s="841" t="s">
        <v>519</v>
      </c>
      <c r="D129" s="842"/>
      <c r="E129" s="499">
        <f>E130+E131+E132+E133+E134+E135</f>
        <v>24158106.816696972</v>
      </c>
      <c r="F129" s="499">
        <f t="shared" ref="F129:J129" si="26">F130+F131+F132+F133+F134+F135</f>
        <v>16764259.346737409</v>
      </c>
      <c r="G129" s="499">
        <f t="shared" si="26"/>
        <v>2043413.3128079176</v>
      </c>
      <c r="H129" s="499">
        <f t="shared" si="26"/>
        <v>2079149.8453202345</v>
      </c>
      <c r="I129" s="499">
        <f t="shared" si="26"/>
        <v>2116315.8391330438</v>
      </c>
      <c r="J129" s="499">
        <f t="shared" si="26"/>
        <v>1154968.4726983656</v>
      </c>
    </row>
    <row r="130" spans="1:10">
      <c r="A130" s="500"/>
      <c r="B130" s="501"/>
      <c r="C130" s="479" t="s">
        <v>520</v>
      </c>
      <c r="D130" s="485" t="s">
        <v>521</v>
      </c>
      <c r="E130" s="564">
        <f>SUM(F130:J130)</f>
        <v>15000000</v>
      </c>
      <c r="F130" s="564">
        <v>15000000</v>
      </c>
      <c r="G130" s="564">
        <v>0</v>
      </c>
      <c r="H130" s="564">
        <v>0</v>
      </c>
      <c r="I130" s="564">
        <v>0</v>
      </c>
      <c r="J130" s="564">
        <v>0</v>
      </c>
    </row>
    <row r="131" spans="1:10">
      <c r="A131" s="500"/>
      <c r="B131" s="501"/>
      <c r="C131" s="479" t="s">
        <v>522</v>
      </c>
      <c r="D131" s="485" t="s">
        <v>523</v>
      </c>
      <c r="E131" s="564">
        <f t="shared" ref="E131:E135" si="27">SUM(F131:J131)</f>
        <v>0</v>
      </c>
      <c r="F131" s="564">
        <v>0</v>
      </c>
      <c r="G131" s="564">
        <v>0</v>
      </c>
      <c r="H131" s="564">
        <v>0</v>
      </c>
      <c r="I131" s="564">
        <v>0</v>
      </c>
      <c r="J131" s="564">
        <v>0</v>
      </c>
    </row>
    <row r="132" spans="1:10" ht="30">
      <c r="A132" s="500"/>
      <c r="B132" s="501"/>
      <c r="C132" s="479" t="s">
        <v>524</v>
      </c>
      <c r="D132" s="485" t="s">
        <v>525</v>
      </c>
      <c r="E132" s="564">
        <f t="shared" si="27"/>
        <v>4000000</v>
      </c>
      <c r="F132" s="564">
        <v>1000000</v>
      </c>
      <c r="G132" s="564">
        <v>1000000</v>
      </c>
      <c r="H132" s="564">
        <v>1000000</v>
      </c>
      <c r="I132" s="564">
        <v>1000000</v>
      </c>
      <c r="J132" s="564">
        <v>0</v>
      </c>
    </row>
    <row r="133" spans="1:10">
      <c r="A133" s="500"/>
      <c r="B133" s="501"/>
      <c r="C133" s="605" t="s">
        <v>526</v>
      </c>
      <c r="D133" s="609" t="s">
        <v>527</v>
      </c>
      <c r="E133" s="607">
        <f t="shared" si="27"/>
        <v>2001154.7825745328</v>
      </c>
      <c r="F133" s="607">
        <f>F90</f>
        <v>369467.43115951587</v>
      </c>
      <c r="G133" s="607">
        <f t="shared" ref="G133:J133" si="28">G90</f>
        <v>384246.12840589654</v>
      </c>
      <c r="H133" s="607">
        <f t="shared" si="28"/>
        <v>399615.97354213241</v>
      </c>
      <c r="I133" s="607">
        <f t="shared" si="28"/>
        <v>415600.61248381773</v>
      </c>
      <c r="J133" s="607">
        <f t="shared" si="28"/>
        <v>432224.63698317047</v>
      </c>
    </row>
    <row r="134" spans="1:10">
      <c r="A134" s="500"/>
      <c r="B134" s="501"/>
      <c r="C134" s="605" t="s">
        <v>528</v>
      </c>
      <c r="D134" s="609" t="s">
        <v>529</v>
      </c>
      <c r="E134" s="607">
        <f t="shared" si="27"/>
        <v>2406952.0341224391</v>
      </c>
      <c r="F134" s="607">
        <f>F166</f>
        <v>244791.91557789478</v>
      </c>
      <c r="G134" s="607">
        <f t="shared" ref="G134:J134" si="29">G166</f>
        <v>509167.18440202117</v>
      </c>
      <c r="H134" s="607">
        <f t="shared" si="29"/>
        <v>529533.87177810201</v>
      </c>
      <c r="I134" s="607">
        <f t="shared" si="29"/>
        <v>550715.22664922616</v>
      </c>
      <c r="J134" s="607">
        <f t="shared" si="29"/>
        <v>572743.83571519516</v>
      </c>
    </row>
    <row r="135" spans="1:10">
      <c r="A135" s="500"/>
      <c r="B135" s="501"/>
      <c r="C135" s="605" t="s">
        <v>530</v>
      </c>
      <c r="D135" s="609" t="s">
        <v>531</v>
      </c>
      <c r="E135" s="607">
        <f t="shared" si="27"/>
        <v>750000</v>
      </c>
      <c r="F135" s="607">
        <v>150000</v>
      </c>
      <c r="G135" s="607">
        <f>G91</f>
        <v>150000</v>
      </c>
      <c r="H135" s="607">
        <f t="shared" ref="H135:J135" si="30">H91</f>
        <v>150000</v>
      </c>
      <c r="I135" s="607">
        <f t="shared" si="30"/>
        <v>150000</v>
      </c>
      <c r="J135" s="607">
        <f t="shared" si="30"/>
        <v>150000</v>
      </c>
    </row>
    <row r="136" spans="1:10" ht="30" customHeight="1">
      <c r="A136" s="497" t="s">
        <v>532</v>
      </c>
      <c r="B136" s="498"/>
      <c r="C136" s="843" t="s">
        <v>533</v>
      </c>
      <c r="D136" s="844"/>
      <c r="E136" s="499"/>
      <c r="F136" s="499"/>
      <c r="G136" s="499"/>
      <c r="H136" s="499"/>
      <c r="I136" s="499"/>
      <c r="J136" s="499"/>
    </row>
    <row r="137" spans="1:10">
      <c r="A137" s="500"/>
      <c r="B137" s="501"/>
      <c r="C137" s="501"/>
      <c r="D137" s="504"/>
      <c r="E137" s="473"/>
      <c r="F137" s="473"/>
      <c r="G137" s="473"/>
      <c r="H137" s="473"/>
      <c r="I137" s="473"/>
      <c r="J137" s="473"/>
    </row>
    <row r="138" spans="1:10" ht="30" customHeight="1">
      <c r="A138" s="497" t="s">
        <v>534</v>
      </c>
      <c r="B138" s="498"/>
      <c r="C138" s="843" t="s">
        <v>535</v>
      </c>
      <c r="D138" s="844"/>
      <c r="E138" s="499"/>
      <c r="F138" s="499"/>
      <c r="G138" s="499"/>
      <c r="H138" s="499"/>
      <c r="I138" s="499"/>
      <c r="J138" s="499"/>
    </row>
    <row r="139" spans="1:10">
      <c r="A139" s="500"/>
      <c r="B139" s="501"/>
      <c r="C139" s="501"/>
      <c r="D139" s="505"/>
      <c r="E139" s="473"/>
      <c r="F139" s="473"/>
      <c r="G139" s="473"/>
      <c r="H139" s="473"/>
      <c r="I139" s="473"/>
      <c r="J139" s="473"/>
    </row>
    <row r="140" spans="1:10" ht="30" customHeight="1">
      <c r="A140" s="497" t="s">
        <v>536</v>
      </c>
      <c r="B140" s="498"/>
      <c r="C140" s="843" t="s">
        <v>537</v>
      </c>
      <c r="D140" s="844"/>
      <c r="E140" s="499"/>
      <c r="F140" s="499"/>
      <c r="G140" s="499"/>
      <c r="H140" s="499"/>
      <c r="I140" s="499"/>
      <c r="J140" s="499"/>
    </row>
    <row r="141" spans="1:10">
      <c r="A141" s="500"/>
      <c r="B141" s="501"/>
      <c r="C141" s="501"/>
      <c r="D141" s="505"/>
      <c r="E141" s="473"/>
      <c r="F141" s="473"/>
      <c r="G141" s="473"/>
      <c r="H141" s="473"/>
      <c r="I141" s="473"/>
      <c r="J141" s="473"/>
    </row>
    <row r="142" spans="1:10" ht="30" customHeight="1">
      <c r="A142" s="497" t="s">
        <v>538</v>
      </c>
      <c r="B142" s="498"/>
      <c r="C142" s="843" t="s">
        <v>539</v>
      </c>
      <c r="D142" s="844"/>
      <c r="E142" s="499"/>
      <c r="F142" s="499"/>
      <c r="G142" s="499"/>
      <c r="H142" s="499"/>
      <c r="I142" s="499"/>
      <c r="J142" s="499"/>
    </row>
    <row r="143" spans="1:10">
      <c r="A143" s="500"/>
      <c r="B143" s="501"/>
      <c r="C143" s="501"/>
      <c r="D143" s="505"/>
      <c r="E143" s="473"/>
      <c r="F143" s="473"/>
      <c r="G143" s="473"/>
      <c r="H143" s="473"/>
      <c r="I143" s="473"/>
      <c r="J143" s="473"/>
    </row>
    <row r="144" spans="1:10" ht="30" customHeight="1">
      <c r="A144" s="497" t="s">
        <v>540</v>
      </c>
      <c r="B144" s="498"/>
      <c r="C144" s="843" t="s">
        <v>541</v>
      </c>
      <c r="D144" s="844"/>
      <c r="E144" s="499"/>
      <c r="F144" s="499"/>
      <c r="G144" s="499"/>
      <c r="H144" s="499"/>
      <c r="I144" s="499"/>
      <c r="J144" s="499"/>
    </row>
    <row r="145" spans="1:10">
      <c r="A145" s="500"/>
      <c r="B145" s="501"/>
      <c r="C145" s="501"/>
      <c r="D145" s="615"/>
      <c r="E145" s="473"/>
      <c r="F145" s="473"/>
      <c r="G145" s="473"/>
      <c r="H145" s="473"/>
      <c r="I145" s="473"/>
      <c r="J145" s="473"/>
    </row>
    <row r="146" spans="1:10">
      <c r="A146" s="506" t="s">
        <v>192</v>
      </c>
      <c r="B146" s="494" t="s">
        <v>192</v>
      </c>
      <c r="C146" s="805" t="s">
        <v>542</v>
      </c>
      <c r="D146" s="806"/>
      <c r="E146" s="495">
        <f>E148+E151+E153+E155</f>
        <v>5231483.71</v>
      </c>
      <c r="F146" s="495">
        <f t="shared" ref="F146:J146" si="31">F148+F151+F153+F155</f>
        <v>231483.71</v>
      </c>
      <c r="G146" s="495">
        <f t="shared" si="31"/>
        <v>3500000</v>
      </c>
      <c r="H146" s="495">
        <f t="shared" si="31"/>
        <v>500000</v>
      </c>
      <c r="I146" s="495">
        <f t="shared" si="31"/>
        <v>500000</v>
      </c>
      <c r="J146" s="495">
        <f t="shared" si="31"/>
        <v>500000</v>
      </c>
    </row>
    <row r="147" spans="1:10">
      <c r="A147" s="506" t="s">
        <v>193</v>
      </c>
      <c r="B147" s="494" t="s">
        <v>417</v>
      </c>
      <c r="C147" s="805" t="s">
        <v>195</v>
      </c>
      <c r="D147" s="806"/>
      <c r="E147" s="495"/>
      <c r="F147" s="495"/>
      <c r="G147" s="495"/>
      <c r="H147" s="495"/>
      <c r="I147" s="495"/>
      <c r="J147" s="495"/>
    </row>
    <row r="148" spans="1:10" ht="30" customHeight="1">
      <c r="A148" s="497" t="s">
        <v>543</v>
      </c>
      <c r="B148" s="498" t="s">
        <v>787</v>
      </c>
      <c r="C148" s="843" t="s">
        <v>544</v>
      </c>
      <c r="D148" s="844"/>
      <c r="E148" s="499">
        <f>E149+E150</f>
        <v>5231483.71</v>
      </c>
      <c r="F148" s="499">
        <f t="shared" ref="F148:J148" si="32">F149+F150</f>
        <v>231483.71</v>
      </c>
      <c r="G148" s="499">
        <f t="shared" si="32"/>
        <v>3500000</v>
      </c>
      <c r="H148" s="499">
        <f t="shared" si="32"/>
        <v>500000</v>
      </c>
      <c r="I148" s="499">
        <f t="shared" si="32"/>
        <v>500000</v>
      </c>
      <c r="J148" s="499">
        <f t="shared" si="32"/>
        <v>500000</v>
      </c>
    </row>
    <row r="149" spans="1:10" ht="30">
      <c r="A149" s="500"/>
      <c r="B149" s="501"/>
      <c r="C149" s="479" t="s">
        <v>545</v>
      </c>
      <c r="D149" s="468" t="s">
        <v>546</v>
      </c>
      <c r="E149" s="564">
        <f t="shared" ref="E149:E150" si="33">SUM(F149:J149)</f>
        <v>2231483.71</v>
      </c>
      <c r="F149" s="564">
        <v>231483.71</v>
      </c>
      <c r="G149" s="564">
        <v>500000</v>
      </c>
      <c r="H149" s="564">
        <v>500000</v>
      </c>
      <c r="I149" s="564">
        <v>500000</v>
      </c>
      <c r="J149" s="564">
        <v>500000</v>
      </c>
    </row>
    <row r="150" spans="1:10" ht="30">
      <c r="A150" s="500"/>
      <c r="B150" s="501"/>
      <c r="C150" s="479" t="s">
        <v>547</v>
      </c>
      <c r="D150" s="468" t="s">
        <v>548</v>
      </c>
      <c r="E150" s="564">
        <f t="shared" si="33"/>
        <v>3000000</v>
      </c>
      <c r="F150" s="564">
        <v>0</v>
      </c>
      <c r="G150" s="564">
        <v>3000000</v>
      </c>
      <c r="H150" s="564">
        <v>0</v>
      </c>
      <c r="I150" s="564">
        <v>0</v>
      </c>
      <c r="J150" s="564">
        <v>0</v>
      </c>
    </row>
    <row r="151" spans="1:10" ht="20.100000000000001" customHeight="1">
      <c r="A151" s="497" t="s">
        <v>549</v>
      </c>
      <c r="B151" s="498"/>
      <c r="C151" s="843" t="s">
        <v>550</v>
      </c>
      <c r="D151" s="844"/>
      <c r="E151" s="499">
        <f>E152</f>
        <v>0</v>
      </c>
      <c r="F151" s="499">
        <f t="shared" ref="F151:J151" si="34">F152</f>
        <v>0</v>
      </c>
      <c r="G151" s="499">
        <f t="shared" si="34"/>
        <v>0</v>
      </c>
      <c r="H151" s="499">
        <f t="shared" si="34"/>
        <v>0</v>
      </c>
      <c r="I151" s="499">
        <f t="shared" si="34"/>
        <v>0</v>
      </c>
      <c r="J151" s="499">
        <f t="shared" si="34"/>
        <v>0</v>
      </c>
    </row>
    <row r="152" spans="1:10" ht="15" customHeight="1">
      <c r="A152" s="500"/>
      <c r="B152" s="501"/>
      <c r="C152" s="479" t="s">
        <v>551</v>
      </c>
      <c r="D152" s="468" t="s">
        <v>552</v>
      </c>
      <c r="E152" s="480">
        <f t="shared" ref="E152" si="35">SUM(F152:J152)</f>
        <v>0</v>
      </c>
      <c r="F152" s="480">
        <v>0</v>
      </c>
      <c r="G152" s="480">
        <v>0</v>
      </c>
      <c r="H152" s="480">
        <v>0</v>
      </c>
      <c r="I152" s="480">
        <v>0</v>
      </c>
      <c r="J152" s="480">
        <v>0</v>
      </c>
    </row>
    <row r="153" spans="1:10" ht="20.100000000000001" customHeight="1">
      <c r="A153" s="497" t="s">
        <v>553</v>
      </c>
      <c r="B153" s="498"/>
      <c r="C153" s="843" t="s">
        <v>554</v>
      </c>
      <c r="D153" s="844"/>
      <c r="E153" s="499">
        <f>E154</f>
        <v>0</v>
      </c>
      <c r="F153" s="499">
        <f t="shared" ref="F153:J155" si="36">F154</f>
        <v>0</v>
      </c>
      <c r="G153" s="499">
        <f t="shared" si="36"/>
        <v>0</v>
      </c>
      <c r="H153" s="499">
        <f t="shared" si="36"/>
        <v>0</v>
      </c>
      <c r="I153" s="499">
        <f t="shared" si="36"/>
        <v>0</v>
      </c>
      <c r="J153" s="499">
        <f t="shared" si="36"/>
        <v>0</v>
      </c>
    </row>
    <row r="154" spans="1:10">
      <c r="A154" s="500"/>
      <c r="B154" s="501"/>
      <c r="C154" s="479" t="s">
        <v>555</v>
      </c>
      <c r="D154" s="485" t="s">
        <v>556</v>
      </c>
      <c r="E154" s="480">
        <f t="shared" ref="E154" si="37">SUM(F154:J154)</f>
        <v>0</v>
      </c>
      <c r="F154" s="480">
        <v>0</v>
      </c>
      <c r="G154" s="480">
        <v>0</v>
      </c>
      <c r="H154" s="480">
        <v>0</v>
      </c>
      <c r="I154" s="480">
        <v>0</v>
      </c>
      <c r="J154" s="480">
        <v>0</v>
      </c>
    </row>
    <row r="155" spans="1:10" ht="30" customHeight="1">
      <c r="A155" s="497" t="s">
        <v>557</v>
      </c>
      <c r="B155" s="498"/>
      <c r="C155" s="843" t="s">
        <v>558</v>
      </c>
      <c r="D155" s="844"/>
      <c r="E155" s="499">
        <f>E156</f>
        <v>0</v>
      </c>
      <c r="F155" s="499">
        <f t="shared" si="36"/>
        <v>0</v>
      </c>
      <c r="G155" s="499">
        <f t="shared" si="36"/>
        <v>0</v>
      </c>
      <c r="H155" s="499">
        <f t="shared" si="36"/>
        <v>0</v>
      </c>
      <c r="I155" s="499">
        <f t="shared" si="36"/>
        <v>0</v>
      </c>
      <c r="J155" s="499">
        <f t="shared" si="36"/>
        <v>0</v>
      </c>
    </row>
    <row r="156" spans="1:10">
      <c r="A156" s="500"/>
      <c r="B156" s="501"/>
      <c r="C156" s="479" t="s">
        <v>555</v>
      </c>
      <c r="D156" s="485" t="s">
        <v>559</v>
      </c>
      <c r="E156" s="480">
        <f t="shared" ref="E156" si="38">SUM(F156:J156)</f>
        <v>0</v>
      </c>
      <c r="F156" s="480">
        <v>0</v>
      </c>
      <c r="G156" s="480">
        <v>0</v>
      </c>
      <c r="H156" s="480">
        <v>0</v>
      </c>
      <c r="I156" s="480">
        <v>0</v>
      </c>
      <c r="J156" s="480">
        <v>0</v>
      </c>
    </row>
    <row r="157" spans="1:10">
      <c r="A157" s="506" t="s">
        <v>192</v>
      </c>
      <c r="B157" s="494" t="s">
        <v>192</v>
      </c>
      <c r="C157" s="805" t="s">
        <v>560</v>
      </c>
      <c r="D157" s="806"/>
      <c r="E157" s="495">
        <f t="shared" ref="E157:J157" si="39">E159+E161+E163</f>
        <v>42408106.816696972</v>
      </c>
      <c r="F157" s="495">
        <f t="shared" si="39"/>
        <v>15614259.346737409</v>
      </c>
      <c r="G157" s="495">
        <f t="shared" si="39"/>
        <v>16093413.312807918</v>
      </c>
      <c r="H157" s="495">
        <f t="shared" si="39"/>
        <v>3329149.8453202345</v>
      </c>
      <c r="I157" s="495">
        <f t="shared" si="39"/>
        <v>3566315.8391330438</v>
      </c>
      <c r="J157" s="495">
        <f t="shared" si="39"/>
        <v>3804968.4726983658</v>
      </c>
    </row>
    <row r="158" spans="1:10">
      <c r="A158" s="506" t="s">
        <v>193</v>
      </c>
      <c r="B158" s="494" t="s">
        <v>417</v>
      </c>
      <c r="C158" s="805" t="s">
        <v>195</v>
      </c>
      <c r="D158" s="806"/>
      <c r="E158" s="496"/>
      <c r="F158" s="496"/>
      <c r="G158" s="496"/>
      <c r="H158" s="496"/>
      <c r="I158" s="496"/>
      <c r="J158" s="496"/>
    </row>
    <row r="159" spans="1:10" ht="45" customHeight="1">
      <c r="A159" s="497" t="s">
        <v>561</v>
      </c>
      <c r="B159" s="498"/>
      <c r="C159" s="843" t="s">
        <v>562</v>
      </c>
      <c r="D159" s="844"/>
      <c r="E159" s="499"/>
      <c r="F159" s="499"/>
      <c r="G159" s="499"/>
      <c r="H159" s="499"/>
      <c r="I159" s="499"/>
      <c r="J159" s="499"/>
    </row>
    <row r="160" spans="1:10" ht="15" customHeight="1">
      <c r="A160" s="500"/>
      <c r="B160" s="501"/>
      <c r="C160" s="501"/>
      <c r="D160" s="501"/>
      <c r="E160" s="501"/>
      <c r="F160" s="501"/>
      <c r="G160" s="501"/>
      <c r="H160" s="501"/>
      <c r="I160" s="501"/>
      <c r="J160" s="501"/>
    </row>
    <row r="161" spans="1:14" ht="30" customHeight="1">
      <c r="A161" s="497" t="s">
        <v>566</v>
      </c>
      <c r="B161" s="498" t="s">
        <v>788</v>
      </c>
      <c r="C161" s="843" t="s">
        <v>567</v>
      </c>
      <c r="D161" s="844"/>
      <c r="E161" s="499">
        <f t="shared" ref="E161:J161" si="40">SUM(E162:E162)</f>
        <v>2000000</v>
      </c>
      <c r="F161" s="499">
        <f t="shared" si="40"/>
        <v>0</v>
      </c>
      <c r="G161" s="499">
        <f t="shared" si="40"/>
        <v>200000</v>
      </c>
      <c r="H161" s="499">
        <f t="shared" si="40"/>
        <v>400000</v>
      </c>
      <c r="I161" s="499">
        <f t="shared" si="40"/>
        <v>600000</v>
      </c>
      <c r="J161" s="499">
        <f t="shared" si="40"/>
        <v>800000</v>
      </c>
    </row>
    <row r="162" spans="1:14" ht="15" customHeight="1">
      <c r="A162" s="500"/>
      <c r="B162" s="501"/>
      <c r="C162" s="479" t="s">
        <v>568</v>
      </c>
      <c r="D162" s="468" t="s">
        <v>794</v>
      </c>
      <c r="E162" s="480">
        <f t="shared" ref="E162" si="41">SUM(F162:J162)</f>
        <v>2000000</v>
      </c>
      <c r="F162" s="480">
        <v>0</v>
      </c>
      <c r="G162" s="480">
        <v>200000</v>
      </c>
      <c r="H162" s="480">
        <v>400000</v>
      </c>
      <c r="I162" s="480">
        <v>600000</v>
      </c>
      <c r="J162" s="480">
        <v>800000</v>
      </c>
    </row>
    <row r="163" spans="1:14" ht="60.75" customHeight="1">
      <c r="A163" s="497" t="s">
        <v>569</v>
      </c>
      <c r="B163" s="498" t="s">
        <v>960</v>
      </c>
      <c r="C163" s="843" t="s">
        <v>965</v>
      </c>
      <c r="D163" s="844"/>
      <c r="E163" s="499">
        <f>SUM(E164:E166)</f>
        <v>40408106.816696972</v>
      </c>
      <c r="F163" s="499">
        <f>SUM(F164:F166)</f>
        <v>15614259.346737409</v>
      </c>
      <c r="G163" s="499">
        <f t="shared" ref="G163:J163" si="42">SUM(G164:G166)</f>
        <v>15893413.312807918</v>
      </c>
      <c r="H163" s="499">
        <f t="shared" si="42"/>
        <v>2929149.8453202345</v>
      </c>
      <c r="I163" s="499">
        <f t="shared" si="42"/>
        <v>2966315.8391330438</v>
      </c>
      <c r="J163" s="499">
        <f t="shared" si="42"/>
        <v>3004968.4726983658</v>
      </c>
    </row>
    <row r="164" spans="1:14" ht="15" customHeight="1">
      <c r="A164" s="500"/>
      <c r="B164" s="501"/>
      <c r="C164" s="479" t="s">
        <v>571</v>
      </c>
      <c r="D164" s="468" t="s">
        <v>563</v>
      </c>
      <c r="E164" s="480">
        <f t="shared" ref="E164" si="43">SUM(F164:J164)</f>
        <v>36000000</v>
      </c>
      <c r="F164" s="480">
        <v>15000000</v>
      </c>
      <c r="G164" s="480">
        <v>15000000</v>
      </c>
      <c r="H164" s="480">
        <v>2000000</v>
      </c>
      <c r="I164" s="480">
        <v>2000000</v>
      </c>
      <c r="J164" s="480">
        <v>2000000</v>
      </c>
    </row>
    <row r="165" spans="1:14" ht="15" customHeight="1">
      <c r="A165" s="500"/>
      <c r="B165" s="501"/>
      <c r="C165" s="605" t="s">
        <v>564</v>
      </c>
      <c r="D165" s="609" t="s">
        <v>527</v>
      </c>
      <c r="E165" s="607">
        <f t="shared" ref="E165:E166" si="44">SUM(F165:J165)</f>
        <v>2001154.7825745328</v>
      </c>
      <c r="F165" s="607">
        <f>F133</f>
        <v>369467.43115951587</v>
      </c>
      <c r="G165" s="607">
        <f>G133</f>
        <v>384246.12840589654</v>
      </c>
      <c r="H165" s="607">
        <f>H133</f>
        <v>399615.97354213241</v>
      </c>
      <c r="I165" s="607">
        <f>I133</f>
        <v>415600.61248381773</v>
      </c>
      <c r="J165" s="607">
        <f>J133</f>
        <v>432224.63698317047</v>
      </c>
    </row>
    <row r="166" spans="1:14" ht="15" customHeight="1">
      <c r="A166" s="500"/>
      <c r="B166" s="501"/>
      <c r="C166" s="605" t="s">
        <v>565</v>
      </c>
      <c r="D166" s="609" t="s">
        <v>529</v>
      </c>
      <c r="E166" s="607">
        <f t="shared" si="44"/>
        <v>2406952.0341224391</v>
      </c>
      <c r="F166" s="607">
        <f>F177</f>
        <v>244791.91557789478</v>
      </c>
      <c r="G166" s="607">
        <f t="shared" ref="G166:J166" si="45">G177</f>
        <v>509167.18440202117</v>
      </c>
      <c r="H166" s="607">
        <f t="shared" si="45"/>
        <v>529533.87177810201</v>
      </c>
      <c r="I166" s="607">
        <f t="shared" si="45"/>
        <v>550715.22664922616</v>
      </c>
      <c r="J166" s="607">
        <f t="shared" si="45"/>
        <v>572743.83571519516</v>
      </c>
    </row>
    <row r="167" spans="1:14" ht="45" customHeight="1">
      <c r="A167" s="497" t="s">
        <v>572</v>
      </c>
      <c r="B167" s="498" t="s">
        <v>790</v>
      </c>
      <c r="C167" s="843" t="s">
        <v>573</v>
      </c>
      <c r="D167" s="844"/>
      <c r="E167" s="499"/>
      <c r="F167" s="499"/>
      <c r="G167" s="499"/>
      <c r="H167" s="499"/>
      <c r="I167" s="499"/>
      <c r="J167" s="499"/>
    </row>
    <row r="168" spans="1:14" ht="15" customHeight="1">
      <c r="A168" s="500"/>
      <c r="B168" s="501"/>
      <c r="C168" s="501"/>
      <c r="D168" s="501"/>
      <c r="E168" s="501"/>
      <c r="F168" s="501"/>
      <c r="G168" s="501"/>
      <c r="H168" s="501"/>
      <c r="I168" s="501"/>
      <c r="J168" s="501"/>
    </row>
    <row r="169" spans="1:14" ht="24.95" customHeight="1">
      <c r="A169" s="497" t="s">
        <v>574</v>
      </c>
      <c r="B169" s="498"/>
      <c r="C169" s="843" t="s">
        <v>575</v>
      </c>
      <c r="D169" s="844"/>
      <c r="E169" s="499"/>
      <c r="F169" s="499"/>
      <c r="G169" s="499"/>
      <c r="H169" s="499"/>
      <c r="I169" s="499"/>
      <c r="J169" s="499"/>
    </row>
    <row r="171" spans="1:14">
      <c r="A171" s="507" t="s">
        <v>190</v>
      </c>
      <c r="B171" s="807" t="s">
        <v>576</v>
      </c>
      <c r="C171" s="808"/>
      <c r="D171" s="808"/>
      <c r="E171" s="508">
        <f>E172</f>
        <v>6716568.5632916726</v>
      </c>
      <c r="F171" s="508">
        <f t="shared" ref="F171:J171" si="46">F172</f>
        <v>1009519.8746840144</v>
      </c>
      <c r="G171" s="508">
        <f t="shared" si="46"/>
        <v>1384984.2618723856</v>
      </c>
      <c r="H171" s="508">
        <f t="shared" si="46"/>
        <v>1432183.6323472811</v>
      </c>
      <c r="I171" s="508">
        <f t="shared" si="46"/>
        <v>1423470.9776411722</v>
      </c>
      <c r="J171" s="508">
        <f t="shared" si="46"/>
        <v>1466409.8167468193</v>
      </c>
    </row>
    <row r="172" spans="1:14">
      <c r="A172" s="509" t="s">
        <v>192</v>
      </c>
      <c r="B172" s="510" t="s">
        <v>192</v>
      </c>
      <c r="C172" s="809" t="s">
        <v>577</v>
      </c>
      <c r="D172" s="810"/>
      <c r="E172" s="511">
        <f>E174+E178+E180</f>
        <v>6716568.5632916726</v>
      </c>
      <c r="F172" s="511">
        <f t="shared" ref="F172:J172" si="47">F174+F178+F180</f>
        <v>1009519.8746840144</v>
      </c>
      <c r="G172" s="511">
        <f t="shared" si="47"/>
        <v>1384984.2618723856</v>
      </c>
      <c r="H172" s="511">
        <f t="shared" si="47"/>
        <v>1432183.6323472811</v>
      </c>
      <c r="I172" s="511">
        <f t="shared" si="47"/>
        <v>1423470.9776411722</v>
      </c>
      <c r="J172" s="511">
        <f t="shared" si="47"/>
        <v>1466409.8167468193</v>
      </c>
    </row>
    <row r="173" spans="1:14">
      <c r="A173" s="509" t="s">
        <v>193</v>
      </c>
      <c r="B173" s="510" t="s">
        <v>417</v>
      </c>
      <c r="C173" s="851" t="s">
        <v>195</v>
      </c>
      <c r="D173" s="852"/>
      <c r="E173" s="512"/>
      <c r="F173" s="512"/>
      <c r="G173" s="512"/>
      <c r="H173" s="512"/>
      <c r="I173" s="512"/>
      <c r="J173" s="512"/>
    </row>
    <row r="174" spans="1:14" s="516" customFormat="1" ht="15" customHeight="1">
      <c r="A174" s="513" t="s">
        <v>111</v>
      </c>
      <c r="B174" s="514" t="s">
        <v>730</v>
      </c>
      <c r="C174" s="853" t="s">
        <v>578</v>
      </c>
      <c r="D174" s="854"/>
      <c r="E174" s="515">
        <f>E175+E176+E177</f>
        <v>3306952.0341224391</v>
      </c>
      <c r="F174" s="515">
        <f t="shared" ref="F174:J174" si="48">F175+F176+F177</f>
        <v>344791.91557789478</v>
      </c>
      <c r="G174" s="515">
        <f t="shared" si="48"/>
        <v>709167.18440202111</v>
      </c>
      <c r="H174" s="515">
        <f t="shared" si="48"/>
        <v>729533.87177810201</v>
      </c>
      <c r="I174" s="515">
        <f t="shared" si="48"/>
        <v>750715.22664922616</v>
      </c>
      <c r="J174" s="515">
        <f t="shared" si="48"/>
        <v>772743.83571519516</v>
      </c>
      <c r="K174" s="130"/>
      <c r="L174" s="130"/>
      <c r="M174" s="130"/>
      <c r="N174" s="130"/>
    </row>
    <row r="175" spans="1:14" s="516" customFormat="1">
      <c r="A175" s="500"/>
      <c r="B175" s="501"/>
      <c r="C175" s="479" t="s">
        <v>755</v>
      </c>
      <c r="D175" s="468" t="s">
        <v>579</v>
      </c>
      <c r="E175" s="480">
        <f t="shared" ref="E175:E176" si="49">SUM(F175:J175)</f>
        <v>500000</v>
      </c>
      <c r="F175" s="480">
        <v>100000</v>
      </c>
      <c r="G175" s="480">
        <v>100000</v>
      </c>
      <c r="H175" s="480">
        <v>100000</v>
      </c>
      <c r="I175" s="480">
        <v>100000</v>
      </c>
      <c r="J175" s="480">
        <v>100000</v>
      </c>
      <c r="K175" s="130"/>
      <c r="L175" s="130"/>
      <c r="M175" s="130"/>
      <c r="N175" s="130"/>
    </row>
    <row r="176" spans="1:14" s="516" customFormat="1">
      <c r="A176" s="500"/>
      <c r="B176" s="501"/>
      <c r="C176" s="479" t="s">
        <v>756</v>
      </c>
      <c r="D176" s="468" t="s">
        <v>580</v>
      </c>
      <c r="E176" s="480">
        <f t="shared" si="49"/>
        <v>400000</v>
      </c>
      <c r="F176" s="480">
        <v>0</v>
      </c>
      <c r="G176" s="480">
        <v>100000</v>
      </c>
      <c r="H176" s="480">
        <v>100000</v>
      </c>
      <c r="I176" s="480">
        <v>100000</v>
      </c>
      <c r="J176" s="480">
        <v>100000</v>
      </c>
      <c r="K176" s="130"/>
      <c r="L176" s="130"/>
      <c r="M176" s="130"/>
      <c r="N176" s="130"/>
    </row>
    <row r="177" spans="1:14">
      <c r="A177" s="471"/>
      <c r="B177" s="131"/>
      <c r="C177" s="605" t="s">
        <v>720</v>
      </c>
      <c r="D177" s="608" t="s">
        <v>503</v>
      </c>
      <c r="E177" s="607">
        <f>SUM(F177:J177)</f>
        <v>2406952.0341224391</v>
      </c>
      <c r="F177" s="607">
        <f>'Ação 3.1.1  3'!D26</f>
        <v>244791.91557789478</v>
      </c>
      <c r="G177" s="607">
        <f>'Ação 3.1.1  3'!F26</f>
        <v>509167.18440202117</v>
      </c>
      <c r="H177" s="607">
        <f>'Ação 3.1.1  3'!H26</f>
        <v>529533.87177810201</v>
      </c>
      <c r="I177" s="607">
        <f>'Ação 3.1.1  3'!J26</f>
        <v>550715.22664922616</v>
      </c>
      <c r="J177" s="607">
        <f>'Ação 3.1.1  3'!L26</f>
        <v>572743.83571519516</v>
      </c>
    </row>
    <row r="178" spans="1:14" s="516" customFormat="1" ht="30" customHeight="1">
      <c r="A178" s="513" t="s">
        <v>581</v>
      </c>
      <c r="B178" s="514" t="s">
        <v>730</v>
      </c>
      <c r="C178" s="853" t="s">
        <v>582</v>
      </c>
      <c r="D178" s="854"/>
      <c r="E178" s="515">
        <f>E179</f>
        <v>2517116.5291692331</v>
      </c>
      <c r="F178" s="515">
        <f t="shared" ref="F178:J178" si="50">F179</f>
        <v>464727.95910611958</v>
      </c>
      <c r="G178" s="515">
        <f t="shared" si="50"/>
        <v>483317.0774703644</v>
      </c>
      <c r="H178" s="515">
        <f t="shared" si="50"/>
        <v>502649.76056917896</v>
      </c>
      <c r="I178" s="515">
        <f t="shared" si="50"/>
        <v>522755.75099194614</v>
      </c>
      <c r="J178" s="515">
        <f t="shared" si="50"/>
        <v>543665.98103162402</v>
      </c>
      <c r="K178" s="130"/>
      <c r="L178" s="130"/>
      <c r="M178" s="130"/>
      <c r="N178" s="130"/>
    </row>
    <row r="179" spans="1:14" ht="15" customHeight="1">
      <c r="A179" s="500"/>
      <c r="B179" s="501"/>
      <c r="C179" s="605" t="s">
        <v>583</v>
      </c>
      <c r="D179" s="606" t="s">
        <v>653</v>
      </c>
      <c r="E179" s="607">
        <f t="shared" ref="E179" si="51">SUM(F179:J179)</f>
        <v>2517116.5291692331</v>
      </c>
      <c r="F179" s="607">
        <f>'Ação 3.1.2 1'!D26</f>
        <v>464727.95910611958</v>
      </c>
      <c r="G179" s="607">
        <f>'Ação 3.1.2 1'!F26</f>
        <v>483317.0774703644</v>
      </c>
      <c r="H179" s="607">
        <f>'Ação 3.1.2 1'!H26</f>
        <v>502649.76056917896</v>
      </c>
      <c r="I179" s="607">
        <f>'Ação 3.1.2 1'!J26</f>
        <v>522755.75099194614</v>
      </c>
      <c r="J179" s="607">
        <f>'Ação 3.1.2 1'!L26</f>
        <v>543665.98103162402</v>
      </c>
    </row>
    <row r="180" spans="1:14" s="516" customFormat="1" ht="30" customHeight="1">
      <c r="A180" s="513" t="s">
        <v>584</v>
      </c>
      <c r="B180" s="514" t="s">
        <v>730</v>
      </c>
      <c r="C180" s="853" t="s">
        <v>585</v>
      </c>
      <c r="D180" s="854"/>
      <c r="E180" s="515">
        <f>E181+E182+E183</f>
        <v>892500</v>
      </c>
      <c r="F180" s="515">
        <f t="shared" ref="F180:J180" si="52">F181+F182+F183</f>
        <v>200000</v>
      </c>
      <c r="G180" s="515">
        <f t="shared" si="52"/>
        <v>192500</v>
      </c>
      <c r="H180" s="515">
        <f t="shared" si="52"/>
        <v>200000</v>
      </c>
      <c r="I180" s="515">
        <f t="shared" si="52"/>
        <v>150000</v>
      </c>
      <c r="J180" s="515">
        <f t="shared" si="52"/>
        <v>150000</v>
      </c>
      <c r="K180" s="130"/>
      <c r="L180" s="130"/>
      <c r="M180" s="130"/>
      <c r="N180" s="130"/>
    </row>
    <row r="181" spans="1:14">
      <c r="A181" s="500"/>
      <c r="B181" s="501"/>
      <c r="C181" s="479" t="s">
        <v>586</v>
      </c>
      <c r="D181" s="468" t="s">
        <v>834</v>
      </c>
      <c r="E181" s="480">
        <f t="shared" ref="E181" si="53">SUM(F181:J181)</f>
        <v>250000</v>
      </c>
      <c r="F181" s="480">
        <v>50000</v>
      </c>
      <c r="G181" s="480">
        <v>50000</v>
      </c>
      <c r="H181" s="480">
        <v>50000</v>
      </c>
      <c r="I181" s="480">
        <v>50000</v>
      </c>
      <c r="J181" s="480">
        <v>50000</v>
      </c>
    </row>
    <row r="182" spans="1:14">
      <c r="A182" s="500"/>
      <c r="B182" s="501"/>
      <c r="C182" s="479" t="s">
        <v>587</v>
      </c>
      <c r="D182" s="468" t="s">
        <v>588</v>
      </c>
      <c r="E182" s="480">
        <f t="shared" ref="E182:E183" si="54">SUM(F182:J182)</f>
        <v>250000</v>
      </c>
      <c r="F182" s="480">
        <v>50000</v>
      </c>
      <c r="G182" s="480">
        <v>50000</v>
      </c>
      <c r="H182" s="480">
        <v>50000</v>
      </c>
      <c r="I182" s="480">
        <v>50000</v>
      </c>
      <c r="J182" s="480">
        <v>50000</v>
      </c>
    </row>
    <row r="183" spans="1:14">
      <c r="A183" s="500"/>
      <c r="B183" s="501"/>
      <c r="C183" s="479" t="s">
        <v>589</v>
      </c>
      <c r="D183" s="468" t="s">
        <v>590</v>
      </c>
      <c r="E183" s="480">
        <f t="shared" si="54"/>
        <v>392500</v>
      </c>
      <c r="F183" s="480">
        <v>100000</v>
      </c>
      <c r="G183" s="480">
        <v>92500</v>
      </c>
      <c r="H183" s="480">
        <v>100000</v>
      </c>
      <c r="I183" s="480">
        <v>50000</v>
      </c>
      <c r="J183" s="480">
        <v>50000</v>
      </c>
    </row>
    <row r="185" spans="1:14">
      <c r="A185" s="517" t="s">
        <v>190</v>
      </c>
      <c r="B185" s="811" t="s">
        <v>591</v>
      </c>
      <c r="C185" s="812"/>
      <c r="D185" s="812"/>
      <c r="E185" s="518">
        <f>E186+E189</f>
        <v>6991256.9073305605</v>
      </c>
      <c r="F185" s="518">
        <f t="shared" ref="F185:J185" si="55">F186+F189</f>
        <v>1272446</v>
      </c>
      <c r="G185" s="518">
        <f t="shared" si="55"/>
        <v>1346723.04</v>
      </c>
      <c r="H185" s="518">
        <f t="shared" si="55"/>
        <v>1400591.9616</v>
      </c>
      <c r="I185" s="518">
        <f t="shared" si="55"/>
        <v>1456615.6400640002</v>
      </c>
      <c r="J185" s="518">
        <f t="shared" si="55"/>
        <v>1514880.2656665603</v>
      </c>
    </row>
    <row r="186" spans="1:14">
      <c r="A186" s="519" t="s">
        <v>192</v>
      </c>
      <c r="B186" s="520" t="s">
        <v>192</v>
      </c>
      <c r="C186" s="802" t="s">
        <v>592</v>
      </c>
      <c r="D186" s="803"/>
      <c r="E186" s="521"/>
      <c r="F186" s="521"/>
      <c r="G186" s="521"/>
      <c r="H186" s="521"/>
      <c r="I186" s="521"/>
      <c r="J186" s="521"/>
    </row>
    <row r="187" spans="1:14">
      <c r="A187" s="519" t="s">
        <v>193</v>
      </c>
      <c r="B187" s="520" t="s">
        <v>417</v>
      </c>
      <c r="C187" s="802" t="s">
        <v>195</v>
      </c>
      <c r="D187" s="803"/>
      <c r="E187" s="521"/>
      <c r="F187" s="521"/>
      <c r="G187" s="521"/>
      <c r="H187" s="521"/>
      <c r="I187" s="521"/>
      <c r="J187" s="521"/>
    </row>
    <row r="188" spans="1:14" ht="15" customHeight="1">
      <c r="A188" s="500" t="s">
        <v>593</v>
      </c>
      <c r="B188" s="501"/>
      <c r="C188" s="501"/>
      <c r="D188" s="522" t="s">
        <v>594</v>
      </c>
      <c r="E188" s="473"/>
      <c r="F188" s="473"/>
      <c r="G188" s="473"/>
      <c r="H188" s="473"/>
      <c r="I188" s="473"/>
      <c r="J188" s="473"/>
    </row>
    <row r="189" spans="1:14">
      <c r="A189" s="519" t="s">
        <v>192</v>
      </c>
      <c r="B189" s="520" t="s">
        <v>192</v>
      </c>
      <c r="C189" s="802" t="s">
        <v>595</v>
      </c>
      <c r="D189" s="803"/>
      <c r="E189" s="523">
        <f>E191+E193+E195+E197+E199</f>
        <v>6991256.9073305605</v>
      </c>
      <c r="F189" s="523">
        <f>1244727+27719</f>
        <v>1272446</v>
      </c>
      <c r="G189" s="523">
        <v>1346723.04</v>
      </c>
      <c r="H189" s="523">
        <v>1400591.9616</v>
      </c>
      <c r="I189" s="523">
        <v>1456615.6400640002</v>
      </c>
      <c r="J189" s="523">
        <v>1514880.2656665603</v>
      </c>
    </row>
    <row r="190" spans="1:14">
      <c r="A190" s="524" t="s">
        <v>193</v>
      </c>
      <c r="B190" s="525" t="s">
        <v>417</v>
      </c>
      <c r="C190" s="847" t="s">
        <v>195</v>
      </c>
      <c r="D190" s="848"/>
      <c r="E190" s="526"/>
      <c r="F190" s="526"/>
      <c r="G190" s="526"/>
      <c r="H190" s="526"/>
      <c r="I190" s="526"/>
      <c r="J190" s="526"/>
    </row>
    <row r="191" spans="1:14">
      <c r="A191" s="527" t="s">
        <v>596</v>
      </c>
      <c r="B191" s="527"/>
      <c r="C191" s="849" t="s">
        <v>597</v>
      </c>
      <c r="D191" s="850"/>
      <c r="E191" s="528">
        <f t="shared" ref="E191:J191" si="56">E192</f>
        <v>69912.569073305596</v>
      </c>
      <c r="F191" s="528">
        <f t="shared" si="56"/>
        <v>12724.460000000001</v>
      </c>
      <c r="G191" s="528">
        <f t="shared" si="56"/>
        <v>13467.2304</v>
      </c>
      <c r="H191" s="528">
        <f t="shared" si="56"/>
        <v>14005.919616000001</v>
      </c>
      <c r="I191" s="528">
        <f t="shared" si="56"/>
        <v>14566.156400640002</v>
      </c>
      <c r="J191" s="528">
        <f t="shared" si="56"/>
        <v>15148.802656665603</v>
      </c>
    </row>
    <row r="192" spans="1:14">
      <c r="A192" s="529">
        <v>0.01</v>
      </c>
      <c r="B192" s="530"/>
      <c r="C192" s="530" t="s">
        <v>598</v>
      </c>
      <c r="D192" s="468" t="s">
        <v>599</v>
      </c>
      <c r="E192" s="480">
        <f t="shared" ref="E192" si="57">SUM(F192:J192)</f>
        <v>69912.569073305596</v>
      </c>
      <c r="F192" s="480">
        <f>$A$192*F189</f>
        <v>12724.460000000001</v>
      </c>
      <c r="G192" s="480">
        <f>$A$192*G189</f>
        <v>13467.2304</v>
      </c>
      <c r="H192" s="480">
        <f>$A$192*H189</f>
        <v>14005.919616000001</v>
      </c>
      <c r="I192" s="480">
        <f>$A$192*I189</f>
        <v>14566.156400640002</v>
      </c>
      <c r="J192" s="480">
        <f>$A$192*J189</f>
        <v>15148.802656665603</v>
      </c>
    </row>
    <row r="193" spans="1:10">
      <c r="A193" s="527" t="s">
        <v>600</v>
      </c>
      <c r="B193" s="527"/>
      <c r="C193" s="845" t="s">
        <v>601</v>
      </c>
      <c r="D193" s="846"/>
      <c r="E193" s="528">
        <f>E194</f>
        <v>1258426.2433195009</v>
      </c>
      <c r="F193" s="528">
        <f t="shared" ref="F193:J193" si="58">F194</f>
        <v>229040.28</v>
      </c>
      <c r="G193" s="528">
        <f t="shared" si="58"/>
        <v>242410.14720000001</v>
      </c>
      <c r="H193" s="528">
        <f t="shared" si="58"/>
        <v>252106.55308799999</v>
      </c>
      <c r="I193" s="528">
        <f t="shared" si="58"/>
        <v>262190.81521152001</v>
      </c>
      <c r="J193" s="528">
        <f t="shared" si="58"/>
        <v>272678.44781998085</v>
      </c>
    </row>
    <row r="194" spans="1:10">
      <c r="A194" s="529">
        <v>0.18</v>
      </c>
      <c r="B194" s="530"/>
      <c r="C194" s="530" t="s">
        <v>602</v>
      </c>
      <c r="D194" s="468" t="s">
        <v>603</v>
      </c>
      <c r="E194" s="480">
        <f t="shared" ref="E194" si="59">SUM(F194:J194)</f>
        <v>1258426.2433195009</v>
      </c>
      <c r="F194" s="480">
        <f>$A$194*F189</f>
        <v>229040.28</v>
      </c>
      <c r="G194" s="480">
        <f>$A$194*G189</f>
        <v>242410.14720000001</v>
      </c>
      <c r="H194" s="480">
        <f>$A$194*H189</f>
        <v>252106.55308799999</v>
      </c>
      <c r="I194" s="480">
        <f>$A$194*I189</f>
        <v>262190.81521152001</v>
      </c>
      <c r="J194" s="480">
        <f>$A$194*J189</f>
        <v>272678.44781998085</v>
      </c>
    </row>
    <row r="195" spans="1:10">
      <c r="A195" s="527" t="s">
        <v>604</v>
      </c>
      <c r="B195" s="527"/>
      <c r="C195" s="845" t="s">
        <v>605</v>
      </c>
      <c r="D195" s="846"/>
      <c r="E195" s="528">
        <f>E196</f>
        <v>5243442.6804979201</v>
      </c>
      <c r="F195" s="528">
        <f t="shared" ref="F195:J195" si="60">F196</f>
        <v>954334.5</v>
      </c>
      <c r="G195" s="528">
        <f t="shared" si="60"/>
        <v>1010042.28</v>
      </c>
      <c r="H195" s="528">
        <f t="shared" si="60"/>
        <v>1050443.9712</v>
      </c>
      <c r="I195" s="528">
        <f t="shared" si="60"/>
        <v>1092461.7300480001</v>
      </c>
      <c r="J195" s="528">
        <f t="shared" si="60"/>
        <v>1136160.1992499202</v>
      </c>
    </row>
    <row r="196" spans="1:10">
      <c r="A196" s="529">
        <v>0.75</v>
      </c>
      <c r="B196" s="530"/>
      <c r="C196" s="530" t="s">
        <v>606</v>
      </c>
      <c r="D196" s="468" t="s">
        <v>607</v>
      </c>
      <c r="E196" s="480">
        <f t="shared" ref="E196" si="61">SUM(F196:J196)</f>
        <v>5243442.6804979201</v>
      </c>
      <c r="F196" s="480">
        <f>$A$196*F189</f>
        <v>954334.5</v>
      </c>
      <c r="G196" s="480">
        <f>$A$196*G189</f>
        <v>1010042.28</v>
      </c>
      <c r="H196" s="480">
        <f>$A$196*H189</f>
        <v>1050443.9712</v>
      </c>
      <c r="I196" s="480">
        <f>$A$196*I189</f>
        <v>1092461.7300480001</v>
      </c>
      <c r="J196" s="480">
        <f>$A$196*J189</f>
        <v>1136160.1992499202</v>
      </c>
    </row>
    <row r="197" spans="1:10">
      <c r="A197" s="527" t="s">
        <v>608</v>
      </c>
      <c r="B197" s="527"/>
      <c r="C197" s="845" t="s">
        <v>609</v>
      </c>
      <c r="D197" s="846"/>
      <c r="E197" s="528">
        <f>E198</f>
        <v>69912.569073305596</v>
      </c>
      <c r="F197" s="528">
        <f t="shared" ref="F197:J197" si="62">F198</f>
        <v>12724.460000000001</v>
      </c>
      <c r="G197" s="528">
        <f t="shared" si="62"/>
        <v>13467.2304</v>
      </c>
      <c r="H197" s="528">
        <f t="shared" si="62"/>
        <v>14005.919616000001</v>
      </c>
      <c r="I197" s="528">
        <f t="shared" si="62"/>
        <v>14566.156400640002</v>
      </c>
      <c r="J197" s="528">
        <f t="shared" si="62"/>
        <v>15148.802656665603</v>
      </c>
    </row>
    <row r="198" spans="1:10">
      <c r="A198" s="529">
        <v>0.01</v>
      </c>
      <c r="B198" s="530"/>
      <c r="C198" s="530" t="s">
        <v>610</v>
      </c>
      <c r="D198" s="468" t="s">
        <v>611</v>
      </c>
      <c r="E198" s="480">
        <f t="shared" ref="E198" si="63">SUM(F198:J198)</f>
        <v>69912.569073305596</v>
      </c>
      <c r="F198" s="480">
        <f>$A$198*F189</f>
        <v>12724.460000000001</v>
      </c>
      <c r="G198" s="480">
        <f>$A$198*G189</f>
        <v>13467.2304</v>
      </c>
      <c r="H198" s="480">
        <f>$A$198*H189</f>
        <v>14005.919616000001</v>
      </c>
      <c r="I198" s="480">
        <f>$A$198*I189</f>
        <v>14566.156400640002</v>
      </c>
      <c r="J198" s="480">
        <f>$A$198*J189</f>
        <v>15148.802656665603</v>
      </c>
    </row>
    <row r="199" spans="1:10">
      <c r="A199" s="527" t="s">
        <v>612</v>
      </c>
      <c r="B199" s="527"/>
      <c r="C199" s="845" t="s">
        <v>613</v>
      </c>
      <c r="D199" s="846"/>
      <c r="E199" s="528">
        <f>E200</f>
        <v>349562.84536652808</v>
      </c>
      <c r="F199" s="528">
        <f t="shared" ref="F199:J199" si="64">F200</f>
        <v>63622.3</v>
      </c>
      <c r="G199" s="528">
        <f t="shared" si="64"/>
        <v>67336.152000000002</v>
      </c>
      <c r="H199" s="528">
        <f t="shared" si="64"/>
        <v>70029.598080000011</v>
      </c>
      <c r="I199" s="528">
        <f t="shared" si="64"/>
        <v>72830.782003200016</v>
      </c>
      <c r="J199" s="528">
        <f t="shared" si="64"/>
        <v>75744.013283328022</v>
      </c>
    </row>
    <row r="200" spans="1:10">
      <c r="A200" s="529">
        <v>0.05</v>
      </c>
      <c r="B200" s="530"/>
      <c r="C200" s="530" t="s">
        <v>614</v>
      </c>
      <c r="D200" s="468" t="s">
        <v>615</v>
      </c>
      <c r="E200" s="480">
        <f t="shared" ref="E200" si="65">SUM(F200:J200)</f>
        <v>349562.84536652808</v>
      </c>
      <c r="F200" s="480">
        <f>$A$200*F189</f>
        <v>63622.3</v>
      </c>
      <c r="G200" s="480">
        <f>$A$200*G189</f>
        <v>67336.152000000002</v>
      </c>
      <c r="H200" s="480">
        <f>$A$200*H189</f>
        <v>70029.598080000011</v>
      </c>
      <c r="I200" s="480">
        <f>$A$200*I189</f>
        <v>72830.782003200016</v>
      </c>
      <c r="J200" s="480">
        <f>$A$200*J189</f>
        <v>75744.013283328022</v>
      </c>
    </row>
    <row r="201" spans="1:10">
      <c r="A201" s="531">
        <v>2021</v>
      </c>
      <c r="B201" s="532" t="s">
        <v>616</v>
      </c>
      <c r="C201" s="532"/>
      <c r="D201" s="532"/>
    </row>
    <row r="202" spans="1:10">
      <c r="F202" s="462"/>
    </row>
  </sheetData>
  <mergeCells count="104">
    <mergeCell ref="C19:D19"/>
    <mergeCell ref="A1:J1"/>
    <mergeCell ref="A4:D4"/>
    <mergeCell ref="B16:D16"/>
    <mergeCell ref="C17:D17"/>
    <mergeCell ref="C18:D18"/>
    <mergeCell ref="C54:D54"/>
    <mergeCell ref="C22:D22"/>
    <mergeCell ref="C24:D24"/>
    <mergeCell ref="C26:D26"/>
    <mergeCell ref="C27:D27"/>
    <mergeCell ref="C36:D36"/>
    <mergeCell ref="C37:D37"/>
    <mergeCell ref="C46:D46"/>
    <mergeCell ref="C47:D47"/>
    <mergeCell ref="C48:D48"/>
    <mergeCell ref="C50:D50"/>
    <mergeCell ref="C52:D52"/>
    <mergeCell ref="C34:D34"/>
    <mergeCell ref="C28:D28"/>
    <mergeCell ref="C32:D32"/>
    <mergeCell ref="C30:D30"/>
    <mergeCell ref="C38:D38"/>
    <mergeCell ref="C40:D40"/>
    <mergeCell ref="C64:D64"/>
    <mergeCell ref="C65:D65"/>
    <mergeCell ref="B78:D78"/>
    <mergeCell ref="C79:D79"/>
    <mergeCell ref="C80:D80"/>
    <mergeCell ref="C81:D81"/>
    <mergeCell ref="C83:D83"/>
    <mergeCell ref="C85:D85"/>
    <mergeCell ref="C62:D62"/>
    <mergeCell ref="C66:D66"/>
    <mergeCell ref="C68:D68"/>
    <mergeCell ref="C70:D70"/>
    <mergeCell ref="C72:D72"/>
    <mergeCell ref="C74:D74"/>
    <mergeCell ref="C76:D76"/>
    <mergeCell ref="C153:D153"/>
    <mergeCell ref="C119:D119"/>
    <mergeCell ref="C121:D121"/>
    <mergeCell ref="B124:D124"/>
    <mergeCell ref="C125:D125"/>
    <mergeCell ref="C126:D126"/>
    <mergeCell ref="C127:D127"/>
    <mergeCell ref="C129:D129"/>
    <mergeCell ref="C146:D146"/>
    <mergeCell ref="C147:D147"/>
    <mergeCell ref="C148:D148"/>
    <mergeCell ref="C151:D151"/>
    <mergeCell ref="C140:D140"/>
    <mergeCell ref="C142:D142"/>
    <mergeCell ref="C144:D144"/>
    <mergeCell ref="C136:D136"/>
    <mergeCell ref="C138:D138"/>
    <mergeCell ref="C180:D180"/>
    <mergeCell ref="C155:D155"/>
    <mergeCell ref="C157:D157"/>
    <mergeCell ref="C158:D158"/>
    <mergeCell ref="C159:D159"/>
    <mergeCell ref="C161:D161"/>
    <mergeCell ref="C163:D163"/>
    <mergeCell ref="B171:D171"/>
    <mergeCell ref="C172:D172"/>
    <mergeCell ref="C173:D173"/>
    <mergeCell ref="C174:D174"/>
    <mergeCell ref="C178:D178"/>
    <mergeCell ref="C167:D167"/>
    <mergeCell ref="C169:D169"/>
    <mergeCell ref="C193:D193"/>
    <mergeCell ref="C195:D195"/>
    <mergeCell ref="C197:D197"/>
    <mergeCell ref="C199:D199"/>
    <mergeCell ref="B185:D185"/>
    <mergeCell ref="C186:D186"/>
    <mergeCell ref="C187:D187"/>
    <mergeCell ref="C189:D189"/>
    <mergeCell ref="C190:D190"/>
    <mergeCell ref="C191:D191"/>
    <mergeCell ref="C42:D42"/>
    <mergeCell ref="C44:D44"/>
    <mergeCell ref="C58:D58"/>
    <mergeCell ref="C56:D56"/>
    <mergeCell ref="C117:D117"/>
    <mergeCell ref="C93:D93"/>
    <mergeCell ref="C95:D95"/>
    <mergeCell ref="C96:D96"/>
    <mergeCell ref="C97:D97"/>
    <mergeCell ref="C99:D99"/>
    <mergeCell ref="C101:D101"/>
    <mergeCell ref="C103:D103"/>
    <mergeCell ref="C104:D104"/>
    <mergeCell ref="C113:D113"/>
    <mergeCell ref="C114:D114"/>
    <mergeCell ref="C115:D115"/>
    <mergeCell ref="C105:D105"/>
    <mergeCell ref="C107:D107"/>
    <mergeCell ref="C109:D109"/>
    <mergeCell ref="C111:D111"/>
    <mergeCell ref="C87:D87"/>
    <mergeCell ref="C55:D55"/>
    <mergeCell ref="C60:D60"/>
    <mergeCell ref="C61:D61"/>
  </mergeCells>
  <phoneticPr fontId="42" type="noConversion"/>
  <printOptions horizontalCentered="1"/>
  <pageMargins left="0.51181102362204722" right="0.51181102362204722" top="0.78740157480314965" bottom="0.78740157480314965" header="0.31496062992125984" footer="0.31496062992125984"/>
  <pageSetup paperSize="9" scale="73" fitToHeight="8" orientation="landscape" r:id="rId1"/>
  <headerFooter>
    <oddFooter>&amp;L&amp;F&amp;C&amp;A&amp;R&amp;P/&amp;N</oddFooter>
  </headerFooter>
  <rowBreaks count="6" manualBreakCount="6">
    <brk id="62" max="16383" man="1"/>
    <brk id="85" max="16383" man="1"/>
    <brk id="116" max="16383" man="1"/>
    <brk id="135" max="9" man="1"/>
    <brk id="161" max="16383" man="1"/>
    <brk id="182" max="16383" man="1"/>
  </rowBreaks>
  <ignoredErrors>
    <ignoredError sqref="E50:E52 E129 E121 E49:J49 E84:G84 J84 E178 E193:J200 E116:J116 E152:E155 E162:E163 E192:F192 G192:J192 E83" formula="1"/>
    <ignoredError sqref="H84:I84" formula="1"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44</vt:i4>
      </vt:variant>
      <vt:variant>
        <vt:lpstr>Intervalos Nomeados</vt:lpstr>
      </vt:variant>
      <vt:variant>
        <vt:i4>14</vt:i4>
      </vt:variant>
    </vt:vector>
  </HeadingPairs>
  <TitlesOfParts>
    <vt:vector size="58" baseType="lpstr">
      <vt:lpstr>Anexo II</vt:lpstr>
      <vt:lpstr>PAP 2021 a 2025 consolidado</vt:lpstr>
      <vt:lpstr>PAP 2021 a 2025</vt:lpstr>
      <vt:lpstr>Objetivos do PIRH</vt:lpstr>
      <vt:lpstr>Programas do PIRH</vt:lpstr>
      <vt:lpstr>Detalhamento dos programas</vt:lpstr>
      <vt:lpstr>PAP 2021 a 2025 tabela</vt:lpstr>
      <vt:lpstr>POA 2021 Resumido</vt:lpstr>
      <vt:lpstr>PAP 2021 a 2025 completo</vt:lpstr>
      <vt:lpstr>Simulação Desembolso</vt:lpstr>
      <vt:lpstr>Ação 1.1.1 </vt:lpstr>
      <vt:lpstr>Ação 1.4.1 </vt:lpstr>
      <vt:lpstr>Ação 1.5.1</vt:lpstr>
      <vt:lpstr>Ação 1.8.2 </vt:lpstr>
      <vt:lpstr>Ação 1.8.4  1 </vt:lpstr>
      <vt:lpstr>Ação 1.8.4   2</vt:lpstr>
      <vt:lpstr>Ação 1.8.4   3</vt:lpstr>
      <vt:lpstr>Ação 1.8.4   5</vt:lpstr>
      <vt:lpstr>Ação 1.11.1   1</vt:lpstr>
      <vt:lpstr>Ação 1.11.4  1</vt:lpstr>
      <vt:lpstr>Ação 2.1.1  1</vt:lpstr>
      <vt:lpstr>Ação 2.1.2 1 </vt:lpstr>
      <vt:lpstr>Ação 2.1.2  5 </vt:lpstr>
      <vt:lpstr>Ação 3.1.1  3</vt:lpstr>
      <vt:lpstr>Ação 3.1.2 1</vt:lpstr>
      <vt:lpstr>Memória de cálculo</vt:lpstr>
      <vt:lpstr>Acompanhamento PIRH </vt:lpstr>
      <vt:lpstr>Sistema de Informação</vt:lpstr>
      <vt:lpstr>Cobrança</vt:lpstr>
      <vt:lpstr>Plano de Segurança Hídrica</vt:lpstr>
      <vt:lpstr>Gerenciadora obras hidráulicas</vt:lpstr>
      <vt:lpstr>Escola de projetos</vt:lpstr>
      <vt:lpstr>Plano de Comunicação</vt:lpstr>
      <vt:lpstr>Curso de capacitação</vt:lpstr>
      <vt:lpstr>PMSB TCU</vt:lpstr>
      <vt:lpstr>Projeto SES</vt:lpstr>
      <vt:lpstr>Gererenciadora agenda marrom</vt:lpstr>
      <vt:lpstr>Rio Vivo</vt:lpstr>
      <vt:lpstr>Gerenciadora agenda verde</vt:lpstr>
      <vt:lpstr>Apoio Secretaria Executiva</vt:lpstr>
      <vt:lpstr>Gerenciadora de TI</vt:lpstr>
      <vt:lpstr>Encargos sociais e benefícios</vt:lpstr>
      <vt:lpstr>Dias trabalhados</vt:lpstr>
      <vt:lpstr>Modelo orçamento </vt:lpstr>
      <vt:lpstr>'Detalhamento dos programas'!Area_de_impressao</vt:lpstr>
      <vt:lpstr>'Dias trabalhados'!Area_de_impressao</vt:lpstr>
      <vt:lpstr>'Objetivos do PIRH'!Area_de_impressao</vt:lpstr>
      <vt:lpstr>'PAP 2021 a 2025'!Area_de_impressao</vt:lpstr>
      <vt:lpstr>'PAP 2021 a 2025 tabela'!Area_de_impressao</vt:lpstr>
      <vt:lpstr>'Programas do PIRH'!Area_de_impressao</vt:lpstr>
      <vt:lpstr>'Simulação Desembolso'!Area_de_impressao</vt:lpstr>
      <vt:lpstr>'Detalhamento dos programas'!Titulos_de_impressao</vt:lpstr>
      <vt:lpstr>'Encargos sociais e benefícios'!Titulos_de_impressao</vt:lpstr>
      <vt:lpstr>'PAP 2021 a 2025'!Titulos_de_impressao</vt:lpstr>
      <vt:lpstr>'PAP 2021 a 2025 completo'!Titulos_de_impressao</vt:lpstr>
      <vt:lpstr>'PAP 2021 a 2025 tabela'!Titulos_de_impressao</vt:lpstr>
      <vt:lpstr>'POA 2021 Resumido'!Titulos_de_impressao</vt:lpstr>
      <vt:lpstr>'Programas do PIRH'!Titulos_de_impressao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AGEVAP-FÁTIMA</dc:creator>
  <cp:lastModifiedBy>Mike Donde</cp:lastModifiedBy>
  <cp:lastPrinted>2020-11-25T19:59:30Z</cp:lastPrinted>
  <dcterms:created xsi:type="dcterms:W3CDTF">2020-03-16T20:38:43Z</dcterms:created>
  <dcterms:modified xsi:type="dcterms:W3CDTF">2021-01-22T13:45:56Z</dcterms:modified>
</cp:coreProperties>
</file>